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3"/>
  </bookViews>
  <sheets>
    <sheet name="Сводная" sheetId="1" r:id="rId1"/>
    <sheet name="Свет" sheetId="2" r:id="rId2"/>
    <sheet name="Согласие" sheetId="3" r:id="rId3"/>
    <sheet name="Слава 40" sheetId="4" r:id="rId4"/>
  </sheets>
  <definedNames/>
  <calcPr fullCalcOnLoad="1"/>
</workbook>
</file>

<file path=xl/sharedStrings.xml><?xml version="1.0" encoding="utf-8"?>
<sst xmlns="http://schemas.openxmlformats.org/spreadsheetml/2006/main" count="420" uniqueCount="184">
  <si>
    <t>СМЕТА</t>
  </si>
  <si>
    <t>№ п/п</t>
  </si>
  <si>
    <t>Наименование статей</t>
  </si>
  <si>
    <t>Единица измерения</t>
  </si>
  <si>
    <t>Год</t>
  </si>
  <si>
    <t>в том числе по кварталам</t>
  </si>
  <si>
    <t>I</t>
  </si>
  <si>
    <t>II</t>
  </si>
  <si>
    <t>III</t>
  </si>
  <si>
    <t>IV</t>
  </si>
  <si>
    <t xml:space="preserve"> </t>
  </si>
  <si>
    <t>Платежи за жилищно-коммунальные услуги, всего</t>
  </si>
  <si>
    <t>в том числе:</t>
  </si>
  <si>
    <t xml:space="preserve">   текущий ремонт</t>
  </si>
  <si>
    <t xml:space="preserve">   капитальный ремонт</t>
  </si>
  <si>
    <t>Управление, всего:</t>
  </si>
  <si>
    <t>Оплата труда</t>
  </si>
  <si>
    <t>Канцелярские расходы</t>
  </si>
  <si>
    <t>Услуги сторонних организаций</t>
  </si>
  <si>
    <t xml:space="preserve"> в том числе:</t>
  </si>
  <si>
    <t xml:space="preserve">    дезинсекция и дератизация</t>
  </si>
  <si>
    <t>Прочие операционные расходы</t>
  </si>
  <si>
    <t>Налоги</t>
  </si>
  <si>
    <t>Специальные фонды</t>
  </si>
  <si>
    <t>на __2020___год</t>
  </si>
  <si>
    <t>Целевые поступления</t>
  </si>
  <si>
    <t xml:space="preserve">   содержание общего имущества</t>
  </si>
  <si>
    <t xml:space="preserve">   содержание территории</t>
  </si>
  <si>
    <t xml:space="preserve">   содержание лифтов</t>
  </si>
  <si>
    <t xml:space="preserve">   ПЗУ</t>
  </si>
  <si>
    <t xml:space="preserve">   АППЗ</t>
  </si>
  <si>
    <t xml:space="preserve">   очистка мусоропровода</t>
  </si>
  <si>
    <t xml:space="preserve">   обслуживание приборов учета</t>
  </si>
  <si>
    <t>1.10</t>
  </si>
  <si>
    <t>Прочие операционные доходы (антенна, радио и т.п.)</t>
  </si>
  <si>
    <t>Цели использования поступлений</t>
  </si>
  <si>
    <t>Содержание оргтехники и ПО</t>
  </si>
  <si>
    <t>Услуги вычислительного центра</t>
  </si>
  <si>
    <t>Эллис</t>
  </si>
  <si>
    <t>Страховые взносы</t>
  </si>
  <si>
    <t>Хоз. расходы по авансовым отчетам</t>
  </si>
  <si>
    <t xml:space="preserve">    обслуж. пожарного водопровода</t>
  </si>
  <si>
    <t xml:space="preserve">    обработка аварийных лифтовых сигналов</t>
  </si>
  <si>
    <t>ОТИС</t>
  </si>
  <si>
    <t>Антарес</t>
  </si>
  <si>
    <t xml:space="preserve">    вывоз ТБО</t>
  </si>
  <si>
    <t>Петроваст</t>
  </si>
  <si>
    <t>Золушка</t>
  </si>
  <si>
    <t xml:space="preserve">    вывоз крупногабаритного мусора</t>
  </si>
  <si>
    <t>Содержание территории всего:</t>
  </si>
  <si>
    <t>Содержание общего имущества дома, всего:</t>
  </si>
  <si>
    <t>Содержание лифтов всего:</t>
  </si>
  <si>
    <t xml:space="preserve">    ТО</t>
  </si>
  <si>
    <t xml:space="preserve">    страхование</t>
  </si>
  <si>
    <t xml:space="preserve">    освидетельствование</t>
  </si>
  <si>
    <t>ПЗУ всего:</t>
  </si>
  <si>
    <t>АППЗ всего:</t>
  </si>
  <si>
    <t>Эльтон</t>
  </si>
  <si>
    <t>Очистка мусоропровода всего:</t>
  </si>
  <si>
    <t>мойка мусоропроводов</t>
  </si>
  <si>
    <t xml:space="preserve"> Текущий ремонт, всего:</t>
  </si>
  <si>
    <t>Услуги сторонних организаций по плану</t>
  </si>
  <si>
    <t xml:space="preserve"> Обслуживание приборов учета всего:</t>
  </si>
  <si>
    <t>Эталон</t>
  </si>
  <si>
    <t>Доходы от коммерческой деятельности</t>
  </si>
  <si>
    <r>
      <t xml:space="preserve">ВСЕГО </t>
    </r>
    <r>
      <rPr>
        <sz val="11"/>
        <rFont val="Times New Roman"/>
        <family val="1"/>
      </rPr>
      <t xml:space="preserve"> (сумма стр. 1, 2, 3)</t>
    </r>
  </si>
  <si>
    <t>Почтовые расходы</t>
  </si>
  <si>
    <r>
      <t xml:space="preserve">ИТОГО  </t>
    </r>
    <r>
      <rPr>
        <sz val="11"/>
        <rFont val="Times New Roman"/>
        <family val="1"/>
      </rPr>
      <t>(сумма стр. 5-13)</t>
    </r>
  </si>
  <si>
    <r>
      <t xml:space="preserve">ВСЕГО РАСХОДОВ: </t>
    </r>
    <r>
      <rPr>
        <sz val="11"/>
        <rFont val="Times New Roman"/>
        <family val="1"/>
      </rPr>
      <t>(сумма стр. 13. 14)</t>
    </r>
  </si>
  <si>
    <t xml:space="preserve">   фонд кап.ремонта (стр. 1.9)</t>
  </si>
  <si>
    <t>6.4.1</t>
  </si>
  <si>
    <t>6.4.2</t>
  </si>
  <si>
    <t>6.4.3</t>
  </si>
  <si>
    <t>6.4.4</t>
  </si>
  <si>
    <t>6.4.5</t>
  </si>
  <si>
    <t>сотовая связь+юристы</t>
  </si>
  <si>
    <r>
      <t>РЕЗУЛЬТАТ</t>
    </r>
    <r>
      <rPr>
        <sz val="11"/>
        <rFont val="Times New Roman"/>
        <family val="1"/>
      </rPr>
      <t xml:space="preserve"> + прибыль, - убыток (стр.4 - стр.16 - стр.17)</t>
    </r>
  </si>
  <si>
    <t xml:space="preserve">   резервный фонд (стр.18 - стр.19.2)</t>
  </si>
  <si>
    <t>14,6/14,6/13,02/13,02</t>
  </si>
  <si>
    <t>1,36/1,36/2,02/2,02</t>
  </si>
  <si>
    <t>3,18/3,18/3,04/3,04</t>
  </si>
  <si>
    <t>0,43/0,43/0,34/0,34</t>
  </si>
  <si>
    <t>0,45/0,45/0,4/0,4</t>
  </si>
  <si>
    <t>1,86/1,86/1,67/1,67</t>
  </si>
  <si>
    <t>6,8/6,8/6,33/6,33</t>
  </si>
  <si>
    <t>0,62/0,62/0,67/0,67</t>
  </si>
  <si>
    <t>9/9/6/6</t>
  </si>
  <si>
    <t xml:space="preserve">   управление МКД</t>
  </si>
  <si>
    <t>товарищества собственников жилья СОГЛАСИЕ</t>
  </si>
  <si>
    <t>Сектор 1 (1-3 парадные)</t>
  </si>
  <si>
    <t>поступлений и расходов</t>
  </si>
  <si>
    <t>доходов и расходов</t>
  </si>
  <si>
    <t>товарищества собственников жилья Согласие</t>
  </si>
  <si>
    <t>сектор 2 (4-8 парадные)</t>
  </si>
  <si>
    <t>Тариф 1 полугодие/ тариф 2 полугодие</t>
  </si>
  <si>
    <t xml:space="preserve">   управление многоквартирным домом</t>
  </si>
  <si>
    <t>5/6</t>
  </si>
  <si>
    <t>5,63/13,02</t>
  </si>
  <si>
    <t>1,96/2,02</t>
  </si>
  <si>
    <t>3,04/3,04</t>
  </si>
  <si>
    <t>30/0,34</t>
  </si>
  <si>
    <t>0,34/0,4</t>
  </si>
  <si>
    <t>1,62/1,67</t>
  </si>
  <si>
    <t>6,31/6,33</t>
  </si>
  <si>
    <t>8,56/8,56</t>
  </si>
  <si>
    <t>0/0,67</t>
  </si>
  <si>
    <t>1.11</t>
  </si>
  <si>
    <t>Уборка лестниц</t>
  </si>
  <si>
    <t>2,11/0</t>
  </si>
  <si>
    <t>1.12</t>
  </si>
  <si>
    <t>Вывоз ТБО</t>
  </si>
  <si>
    <t>5,13/0</t>
  </si>
  <si>
    <t>Контур (ГИС, отчетность), Консультант +, 1С ИТС</t>
  </si>
  <si>
    <t>С-300</t>
  </si>
  <si>
    <t xml:space="preserve">Хоз. расходы </t>
  </si>
  <si>
    <t>Связьсоюз</t>
  </si>
  <si>
    <t xml:space="preserve"> связь+юристы</t>
  </si>
  <si>
    <t xml:space="preserve">   услуги ВЦ</t>
  </si>
  <si>
    <t xml:space="preserve"> Услуги вычислительного центра всего:</t>
  </si>
  <si>
    <r>
      <t xml:space="preserve">ВСЕГО РАСХОДОВ: </t>
    </r>
    <r>
      <rPr>
        <sz val="11"/>
        <rFont val="Times New Roman"/>
        <family val="1"/>
      </rPr>
      <t>(сумма стр. 14. 15)</t>
    </r>
  </si>
  <si>
    <t>20.1</t>
  </si>
  <si>
    <t>20.2</t>
  </si>
  <si>
    <t>1.13</t>
  </si>
  <si>
    <t xml:space="preserve">   уборка лестниц</t>
  </si>
  <si>
    <t xml:space="preserve">   вывоз ТБО</t>
  </si>
  <si>
    <t>6.5</t>
  </si>
  <si>
    <r>
      <t xml:space="preserve">ИТОГО  </t>
    </r>
    <r>
      <rPr>
        <sz val="11"/>
        <rFont val="Times New Roman"/>
        <family val="1"/>
      </rPr>
      <t>(сумма стр. 5-14)</t>
    </r>
  </si>
  <si>
    <t xml:space="preserve">    ТО дома</t>
  </si>
  <si>
    <t xml:space="preserve">    дымовентиляционные работы</t>
  </si>
  <si>
    <t>6.4.6</t>
  </si>
  <si>
    <t>Сопровождение 1с</t>
  </si>
  <si>
    <t>6.6</t>
  </si>
  <si>
    <t>Услуги связи</t>
  </si>
  <si>
    <t>6.7</t>
  </si>
  <si>
    <t>Юридические услуги</t>
  </si>
  <si>
    <t>Водоснабжение и водоотведение(3897,06)</t>
  </si>
  <si>
    <t>105,92/109,1</t>
  </si>
  <si>
    <t>31,58/32,53</t>
  </si>
  <si>
    <t>Горячая вода (920,45)</t>
  </si>
  <si>
    <t>1765,33/1818,29</t>
  </si>
  <si>
    <t>Отопление (143,25)</t>
  </si>
  <si>
    <t>5,13/5,42</t>
  </si>
  <si>
    <t>Электроэнергия МОП день (1176,58)</t>
  </si>
  <si>
    <t>Электроэнергия МОП ночь (356,5)</t>
  </si>
  <si>
    <t>2,96/3,12</t>
  </si>
  <si>
    <t>Платежи за коммунальные услуги, всего</t>
  </si>
  <si>
    <t>Платежи за жилищные услуги, всего</t>
  </si>
  <si>
    <t>Площадь без первых этажей           10034,06</t>
  </si>
  <si>
    <t>Общая площадь                 11176,78</t>
  </si>
  <si>
    <t>Площадь первых этажей       1142,73</t>
  </si>
  <si>
    <t>ЖСК-317</t>
  </si>
  <si>
    <t>12,87/13,02</t>
  </si>
  <si>
    <t>тех.обслуживание дома</t>
  </si>
  <si>
    <t>уборка лестничных клеток</t>
  </si>
  <si>
    <t>вывоз мусора</t>
  </si>
  <si>
    <t>очистка мусоропровода</t>
  </si>
  <si>
    <t>содержание и ремонт лифтов</t>
  </si>
  <si>
    <t>1,77/2,74</t>
  </si>
  <si>
    <t>содержание и ремонт ПЗУ</t>
  </si>
  <si>
    <t>содержание и ремонт систем газоснабжения</t>
  </si>
  <si>
    <t>0,8/0,89</t>
  </si>
  <si>
    <t>3</t>
  </si>
  <si>
    <t>Прочие услуги</t>
  </si>
  <si>
    <t>Прием платежей</t>
  </si>
  <si>
    <t>Прочие доходы</t>
  </si>
  <si>
    <t>ИТОГО  (сумма стр.1, 2, 3)</t>
  </si>
  <si>
    <r>
      <t xml:space="preserve">ВСЕГО </t>
    </r>
    <r>
      <rPr>
        <sz val="11"/>
        <rFont val="Times New Roman"/>
        <family val="1"/>
      </rPr>
      <t xml:space="preserve"> </t>
    </r>
  </si>
  <si>
    <t>радио (170 р.т.)</t>
  </si>
  <si>
    <t>антенна (208 р.т.)</t>
  </si>
  <si>
    <t xml:space="preserve">Коммунальные услуги  </t>
  </si>
  <si>
    <t>водоснабжение и водоотведение</t>
  </si>
  <si>
    <t>теплоэнергия</t>
  </si>
  <si>
    <t>электроэнергия</t>
  </si>
  <si>
    <t xml:space="preserve">Содержание общего имущества дома,  </t>
  </si>
  <si>
    <t xml:space="preserve"> содержание территории: </t>
  </si>
  <si>
    <t>Налоги УСН</t>
  </si>
  <si>
    <t>Осуществление РКО "Клиента"</t>
  </si>
  <si>
    <t>ВСЕГО РАСХОДОВ:</t>
  </si>
  <si>
    <r>
      <t>РЕЗУЛЬТАТ</t>
    </r>
    <r>
      <rPr>
        <sz val="11"/>
        <rFont val="Times New Roman"/>
        <family val="1"/>
      </rPr>
      <t xml:space="preserve"> + прибыль, - убыток </t>
    </r>
  </si>
  <si>
    <t>ПРЕДСЕДАТЕЛЬ  ЖСК-317                                             БАКАЛОВА В.О.</t>
  </si>
  <si>
    <t>БУХГАЛТЕР                                                                        ЛОГИНОВА Е.В.</t>
  </si>
  <si>
    <t>Изменение тарифа на Управление МКД с 01.05.2020г.</t>
  </si>
  <si>
    <t>*</t>
  </si>
  <si>
    <t>5,3/6,3*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</si>
</sst>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>
        <color indexed="8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>
        <color indexed="8"/>
      </right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3" fontId="3" fillId="34" borderId="13" xfId="0" applyNumberFormat="1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3" fontId="3" fillId="33" borderId="13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vertical="top"/>
    </xf>
    <xf numFmtId="3" fontId="2" fillId="0" borderId="2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wrapText="1"/>
    </xf>
    <xf numFmtId="3" fontId="2" fillId="0" borderId="16" xfId="0" applyNumberFormat="1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5" borderId="13" xfId="0" applyFont="1" applyFill="1" applyBorder="1" applyAlignment="1">
      <alignment wrapText="1"/>
    </xf>
    <xf numFmtId="0" fontId="2" fillId="35" borderId="13" xfId="0" applyFont="1" applyFill="1" applyBorder="1" applyAlignment="1">
      <alignment/>
    </xf>
    <xf numFmtId="3" fontId="2" fillId="34" borderId="12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3" fontId="3" fillId="0" borderId="22" xfId="0" applyNumberFormat="1" applyFont="1" applyBorder="1" applyAlignment="1">
      <alignment/>
    </xf>
    <xf numFmtId="0" fontId="3" fillId="0" borderId="21" xfId="0" applyFont="1" applyBorder="1" applyAlignment="1">
      <alignment/>
    </xf>
    <xf numFmtId="49" fontId="3" fillId="0" borderId="22" xfId="0" applyNumberFormat="1" applyFont="1" applyFill="1" applyBorder="1" applyAlignment="1">
      <alignment horizontal="center"/>
    </xf>
    <xf numFmtId="3" fontId="3" fillId="0" borderId="16" xfId="0" applyNumberFormat="1" applyFont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48" fillId="0" borderId="0" xfId="0" applyFont="1" applyAlignment="1">
      <alignment/>
    </xf>
    <xf numFmtId="49" fontId="3" fillId="0" borderId="2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13" xfId="0" applyNumberFormat="1" applyFont="1" applyFill="1" applyBorder="1" applyAlignment="1">
      <alignment wrapText="1"/>
    </xf>
    <xf numFmtId="0" fontId="0" fillId="36" borderId="0" xfId="0" applyFill="1" applyAlignment="1">
      <alignment/>
    </xf>
    <xf numFmtId="0" fontId="2" fillId="36" borderId="13" xfId="0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25" borderId="13" xfId="0" applyFont="1" applyFill="1" applyBorder="1" applyAlignment="1">
      <alignment/>
    </xf>
    <xf numFmtId="0" fontId="3" fillId="13" borderId="13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13" borderId="13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3" fillId="0" borderId="19" xfId="0" applyNumberFormat="1" applyFont="1" applyBorder="1" applyAlignment="1">
      <alignment/>
    </xf>
    <xf numFmtId="0" fontId="3" fillId="33" borderId="13" xfId="0" applyNumberFormat="1" applyFont="1" applyFill="1" applyBorder="1" applyAlignment="1">
      <alignment/>
    </xf>
    <xf numFmtId="0" fontId="3" fillId="25" borderId="13" xfId="0" applyFont="1" applyFill="1" applyBorder="1" applyAlignment="1">
      <alignment wrapText="1"/>
    </xf>
    <xf numFmtId="0" fontId="2" fillId="25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3" xfId="0" applyNumberFormat="1" applyFont="1" applyFill="1" applyBorder="1" applyAlignment="1">
      <alignment/>
    </xf>
    <xf numFmtId="49" fontId="3" fillId="25" borderId="23" xfId="0" applyNumberFormat="1" applyFont="1" applyFill="1" applyBorder="1" applyAlignment="1">
      <alignment horizontal="center" vertical="top"/>
    </xf>
    <xf numFmtId="3" fontId="2" fillId="34" borderId="13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Alignment="1">
      <alignment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13" borderId="13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9" fontId="1" fillId="0" borderId="13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25" borderId="23" xfId="0" applyFont="1" applyFill="1" applyBorder="1" applyAlignment="1">
      <alignment horizontal="center"/>
    </xf>
    <xf numFmtId="0" fontId="3" fillId="25" borderId="23" xfId="0" applyFont="1" applyFill="1" applyBorder="1" applyAlignment="1">
      <alignment horizontal="center" vertical="top"/>
    </xf>
    <xf numFmtId="49" fontId="3" fillId="13" borderId="23" xfId="0" applyNumberFormat="1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67">
      <selection activeCell="B82" sqref="B82"/>
    </sheetView>
  </sheetViews>
  <sheetFormatPr defaultColWidth="9.00390625" defaultRowHeight="12.75"/>
  <cols>
    <col min="1" max="1" width="10.125" style="0" customWidth="1"/>
    <col min="2" max="2" width="47.375" style="0" customWidth="1"/>
    <col min="3" max="3" width="13.25390625" style="0" customWidth="1"/>
    <col min="4" max="4" width="11.25390625" style="0" customWidth="1"/>
    <col min="5" max="5" width="13.00390625" style="0" customWidth="1"/>
    <col min="6" max="6" width="11.625" style="0" customWidth="1"/>
    <col min="7" max="7" width="12.125" style="0" customWidth="1"/>
    <col min="8" max="8" width="11.375" style="0" customWidth="1"/>
  </cols>
  <sheetData>
    <row r="1" spans="1:8" ht="14.25">
      <c r="A1" s="120" t="s">
        <v>0</v>
      </c>
      <c r="B1" s="120"/>
      <c r="C1" s="120"/>
      <c r="D1" s="120"/>
      <c r="E1" s="120"/>
      <c r="F1" s="120"/>
      <c r="G1" s="120"/>
      <c r="H1" s="120"/>
    </row>
    <row r="2" spans="1:8" ht="15">
      <c r="A2" s="121" t="s">
        <v>90</v>
      </c>
      <c r="B2" s="121"/>
      <c r="C2" s="121"/>
      <c r="D2" s="121"/>
      <c r="E2" s="121"/>
      <c r="F2" s="121"/>
      <c r="G2" s="121"/>
      <c r="H2" s="121"/>
    </row>
    <row r="3" spans="1:8" ht="15">
      <c r="A3" s="121" t="s">
        <v>88</v>
      </c>
      <c r="B3" s="121"/>
      <c r="C3" s="121"/>
      <c r="D3" s="121"/>
      <c r="E3" s="121"/>
      <c r="F3" s="121"/>
      <c r="G3" s="121"/>
      <c r="H3" s="121"/>
    </row>
    <row r="4" spans="1:8" ht="15">
      <c r="A4" s="121" t="s">
        <v>24</v>
      </c>
      <c r="B4" s="121"/>
      <c r="C4" s="121"/>
      <c r="D4" s="121"/>
      <c r="E4" s="121"/>
      <c r="F4" s="121"/>
      <c r="G4" s="121"/>
      <c r="H4" s="121"/>
    </row>
    <row r="5" spans="1:8" ht="15.75" thickBot="1">
      <c r="A5" s="3"/>
      <c r="B5" s="3"/>
      <c r="C5" s="3"/>
      <c r="D5" s="3"/>
      <c r="E5" s="3"/>
      <c r="F5" s="3"/>
      <c r="G5" s="3"/>
      <c r="H5" s="3"/>
    </row>
    <row r="6" spans="1:8" ht="29.25" customHeight="1" thickBot="1" thickTop="1">
      <c r="A6" s="114" t="s">
        <v>1</v>
      </c>
      <c r="B6" s="116" t="s">
        <v>2</v>
      </c>
      <c r="C6" s="118" t="s">
        <v>3</v>
      </c>
      <c r="D6" s="116" t="s">
        <v>4</v>
      </c>
      <c r="E6" s="122" t="s">
        <v>5</v>
      </c>
      <c r="F6" s="123"/>
      <c r="G6" s="123"/>
      <c r="H6" s="124"/>
    </row>
    <row r="7" spans="1:8" ht="15.75" thickBot="1">
      <c r="A7" s="115"/>
      <c r="B7" s="117"/>
      <c r="C7" s="119"/>
      <c r="D7" s="117"/>
      <c r="E7" s="4" t="s">
        <v>6</v>
      </c>
      <c r="F7" s="4" t="s">
        <v>7</v>
      </c>
      <c r="G7" s="4" t="s">
        <v>8</v>
      </c>
      <c r="H7" s="5" t="s">
        <v>9</v>
      </c>
    </row>
    <row r="8" spans="1:8" ht="16.5" thickBot="1" thickTop="1">
      <c r="A8" s="6">
        <v>1</v>
      </c>
      <c r="B8" s="7">
        <v>2</v>
      </c>
      <c r="C8" s="48">
        <v>3</v>
      </c>
      <c r="D8" s="7">
        <v>4</v>
      </c>
      <c r="E8" s="7">
        <v>5</v>
      </c>
      <c r="F8" s="7">
        <v>6</v>
      </c>
      <c r="G8" s="7">
        <v>7</v>
      </c>
      <c r="H8" s="8">
        <v>8</v>
      </c>
    </row>
    <row r="9" spans="1:8" ht="15.75" thickBot="1">
      <c r="A9" s="6"/>
      <c r="B9" s="23" t="s">
        <v>25</v>
      </c>
      <c r="C9" s="49"/>
      <c r="D9" s="7"/>
      <c r="E9" s="7"/>
      <c r="F9" s="7"/>
      <c r="G9" s="7"/>
      <c r="H9" s="8"/>
    </row>
    <row r="10" spans="1:8" ht="15.75" thickBot="1">
      <c r="A10" s="6" t="s">
        <v>10</v>
      </c>
      <c r="B10" s="9" t="s">
        <v>10</v>
      </c>
      <c r="C10" s="50"/>
      <c r="D10" s="26"/>
      <c r="E10" s="9"/>
      <c r="F10" s="9"/>
      <c r="G10" s="9"/>
      <c r="H10" s="10"/>
    </row>
    <row r="11" spans="1:8" ht="30.75" thickBot="1">
      <c r="A11" s="11">
        <v>1</v>
      </c>
      <c r="B11" s="12" t="s">
        <v>11</v>
      </c>
      <c r="C11" s="51"/>
      <c r="D11" s="26" t="e">
        <f>SUM(E11:H11)</f>
        <v>#REF!</v>
      </c>
      <c r="E11" s="26" t="e">
        <f>SUM(E13:E25)</f>
        <v>#REF!</v>
      </c>
      <c r="F11" s="26" t="e">
        <f>SUM(F13:F25)</f>
        <v>#REF!</v>
      </c>
      <c r="G11" s="26" t="e">
        <f>SUM(G13:G25)</f>
        <v>#REF!</v>
      </c>
      <c r="H11" s="26" t="e">
        <f>SUM(H13:H25)</f>
        <v>#REF!</v>
      </c>
    </row>
    <row r="12" spans="1:8" ht="15.75" thickBot="1">
      <c r="A12" s="11"/>
      <c r="B12" s="12" t="s">
        <v>12</v>
      </c>
      <c r="C12" s="51"/>
      <c r="D12" s="9"/>
      <c r="E12" s="26"/>
      <c r="F12" s="26"/>
      <c r="G12" s="26"/>
      <c r="H12" s="27"/>
    </row>
    <row r="13" spans="1:8" ht="15.75" thickBot="1">
      <c r="A13" s="42">
        <v>1.1</v>
      </c>
      <c r="B13" s="9" t="s">
        <v>87</v>
      </c>
      <c r="C13" s="52"/>
      <c r="D13" s="26">
        <f aca="true" t="shared" si="0" ref="D13:D27">SUM(E13:H13)</f>
        <v>2751468.24</v>
      </c>
      <c r="E13" s="26">
        <f>+Свет!E14+Согласие!E14+'Слава 40'!E22</f>
        <v>682166.2</v>
      </c>
      <c r="F13" s="26">
        <f>+Свет!F14+Согласие!F14+'Слава 40'!F22</f>
        <v>704519.76</v>
      </c>
      <c r="G13" s="26">
        <f>+Свет!G14+Согласие!G14+'Слава 40'!G22</f>
        <v>682391.14</v>
      </c>
      <c r="H13" s="26">
        <f>+Свет!H14+Согласие!H14+'Слава 40'!H22</f>
        <v>682391.14</v>
      </c>
    </row>
    <row r="14" spans="1:8" ht="15.75" thickBot="1">
      <c r="A14" s="42">
        <v>1.2</v>
      </c>
      <c r="B14" s="9" t="s">
        <v>26</v>
      </c>
      <c r="C14" s="52"/>
      <c r="D14" s="26">
        <f t="shared" si="0"/>
        <v>5166742.8440000005</v>
      </c>
      <c r="E14" s="26">
        <f>+Свет!E15+Согласие!E15+'Слава 40'!E23</f>
        <v>1124410.892</v>
      </c>
      <c r="F14" s="26">
        <f>+Свет!F15+Согласие!F15+'Слава 40'!F23</f>
        <v>1124410.892</v>
      </c>
      <c r="G14" s="26">
        <f>+Свет!G15+Согласие!G15+'Слава 40'!G23</f>
        <v>1458960.5300000003</v>
      </c>
      <c r="H14" s="26">
        <f>+Свет!H15+Согласие!H15+'Слава 40'!H23</f>
        <v>1458960.5300000003</v>
      </c>
    </row>
    <row r="15" spans="1:8" ht="15.75" thickBot="1">
      <c r="A15" s="42">
        <v>1.3</v>
      </c>
      <c r="B15" s="9" t="s">
        <v>27</v>
      </c>
      <c r="C15" s="52"/>
      <c r="D15" s="26">
        <f t="shared" si="0"/>
        <v>858411.3999999999</v>
      </c>
      <c r="E15" s="26">
        <f>+Свет!E16+Согласие!E16+'Слава 40'!E28</f>
        <v>202853.91</v>
      </c>
      <c r="F15" s="26">
        <f>+Свет!F16+Согласие!F16+'Слава 40'!F28</f>
        <v>202853.91</v>
      </c>
      <c r="G15" s="26">
        <f>+Свет!G16+Согласие!G16+'Слава 40'!G28</f>
        <v>226351.78999999998</v>
      </c>
      <c r="H15" s="26">
        <f>+Свет!H16+Согласие!H16+'Слава 40'!H28</f>
        <v>226351.78999999998</v>
      </c>
    </row>
    <row r="16" spans="1:8" ht="15.75" thickBot="1">
      <c r="A16" s="42">
        <v>1.4</v>
      </c>
      <c r="B16" s="9" t="s">
        <v>28</v>
      </c>
      <c r="C16" s="52"/>
      <c r="D16" s="26">
        <f t="shared" si="0"/>
        <v>1183321.7680000002</v>
      </c>
      <c r="E16" s="26">
        <f>+Свет!E17+Согласие!E17+'Слава 40'!E29</f>
        <v>296949.21400000004</v>
      </c>
      <c r="F16" s="26">
        <f>+Свет!F17+Согласие!F17+'Слава 40'!F29</f>
        <v>296949.21400000004</v>
      </c>
      <c r="G16" s="26">
        <f>+Свет!G17+Согласие!G17+'Слава 40'!G29</f>
        <v>294711.67000000004</v>
      </c>
      <c r="H16" s="26">
        <f>+Свет!H17+Согласие!H17+'Слава 40'!H29</f>
        <v>294711.67000000004</v>
      </c>
    </row>
    <row r="17" spans="1:8" ht="15.75" thickBot="1">
      <c r="A17" s="42">
        <v>1.5</v>
      </c>
      <c r="B17" s="9" t="s">
        <v>29</v>
      </c>
      <c r="C17" s="52"/>
      <c r="D17" s="26">
        <f t="shared" si="0"/>
        <v>407462.196</v>
      </c>
      <c r="E17" s="26">
        <f>+Свет!E18+Согласие!E18+'Слава 40'!E30</f>
        <v>94552.628</v>
      </c>
      <c r="F17" s="26">
        <f>+Свет!F18+Согласие!F18+'Слава 40'!F30</f>
        <v>94552.628</v>
      </c>
      <c r="G17" s="26">
        <f>+Свет!G18+Согласие!G18+'Слава 40'!G30</f>
        <v>109178.47</v>
      </c>
      <c r="H17" s="26">
        <f>+Свет!H18+Согласие!H18+'Слава 40'!H30</f>
        <v>109178.47</v>
      </c>
    </row>
    <row r="18" spans="1:8" ht="15.75" thickBot="1">
      <c r="A18" s="42">
        <v>1.6</v>
      </c>
      <c r="B18" s="9" t="s">
        <v>30</v>
      </c>
      <c r="C18" s="52"/>
      <c r="D18" s="26">
        <f t="shared" si="0"/>
        <v>167968.95200000002</v>
      </c>
      <c r="E18" s="26">
        <f>+Свет!E19+Согласие!E19+'Слава 40'!E31</f>
        <v>41174.156</v>
      </c>
      <c r="F18" s="26">
        <f>+Свет!F19+Согласие!F19+'Слава 40'!F31</f>
        <v>41174.156</v>
      </c>
      <c r="G18" s="26">
        <f>+Свет!G19+Согласие!G19+'Слава 40'!G31</f>
        <v>42810.32000000001</v>
      </c>
      <c r="H18" s="26">
        <f>+Свет!H19+Согласие!H19+'Слава 40'!H31</f>
        <v>42810.32000000001</v>
      </c>
    </row>
    <row r="19" spans="1:8" ht="15.75" thickBot="1">
      <c r="A19" s="42">
        <v>1.7</v>
      </c>
      <c r="B19" s="9" t="s">
        <v>31</v>
      </c>
      <c r="C19" s="52"/>
      <c r="D19" s="26">
        <f t="shared" si="0"/>
        <v>643446.688</v>
      </c>
      <c r="E19" s="26">
        <f>+Свет!E20+Согласие!E20+'Слава 40'!E32</f>
        <v>160744.59399999998</v>
      </c>
      <c r="F19" s="26">
        <f>+Свет!F20+Согласие!F20+'Слава 40'!F32</f>
        <v>160744.59399999998</v>
      </c>
      <c r="G19" s="26">
        <f>+Свет!G20+Согласие!G20+'Слава 40'!G32</f>
        <v>160978.75</v>
      </c>
      <c r="H19" s="26">
        <f>+Свет!H20+Согласие!H20+'Слава 40'!H32</f>
        <v>160978.75</v>
      </c>
    </row>
    <row r="20" spans="1:8" ht="15.75" thickBot="1">
      <c r="A20" s="42">
        <v>1.8</v>
      </c>
      <c r="B20" s="9" t="s">
        <v>13</v>
      </c>
      <c r="C20" s="52"/>
      <c r="D20" s="26">
        <f t="shared" si="0"/>
        <v>2860157.448</v>
      </c>
      <c r="E20" s="26">
        <f>+Свет!E21+Согласие!E21+'Слава 40'!E33</f>
        <v>720768.424</v>
      </c>
      <c r="F20" s="26">
        <f>+Свет!F21+Согласие!F21+'Слава 40'!F33</f>
        <v>720768.424</v>
      </c>
      <c r="G20" s="26">
        <f>+Свет!G21+Согласие!G21+'Слава 40'!G33</f>
        <v>709310.3</v>
      </c>
      <c r="H20" s="26">
        <f>+Свет!H21+Согласие!H21+'Слава 40'!H33</f>
        <v>709310.3</v>
      </c>
    </row>
    <row r="21" spans="1:8" ht="15.75" thickBot="1">
      <c r="A21" s="42">
        <v>1.9</v>
      </c>
      <c r="B21" s="9" t="s">
        <v>14</v>
      </c>
      <c r="C21" s="52"/>
      <c r="D21" s="26" t="e">
        <f t="shared" si="0"/>
        <v>#REF!</v>
      </c>
      <c r="E21" s="26" t="e">
        <f>+Свет!E22+Согласие!E22+'Слава 40'!#REF!</f>
        <v>#REF!</v>
      </c>
      <c r="F21" s="26" t="e">
        <f>+Свет!F22+Согласие!F22+'Слава 40'!#REF!</f>
        <v>#REF!</v>
      </c>
      <c r="G21" s="26" t="e">
        <f>+Свет!G22+Согласие!G22+'Слава 40'!#REF!</f>
        <v>#REF!</v>
      </c>
      <c r="H21" s="26" t="e">
        <f>+Свет!H22+Согласие!H22+'Слава 40'!#REF!</f>
        <v>#REF!</v>
      </c>
    </row>
    <row r="22" spans="1:8" ht="15.75" thickBot="1">
      <c r="A22" s="42" t="s">
        <v>33</v>
      </c>
      <c r="B22" s="9" t="s">
        <v>32</v>
      </c>
      <c r="C22" s="52"/>
      <c r="D22" s="26">
        <f t="shared" si="0"/>
        <v>229752.24400000004</v>
      </c>
      <c r="E22" s="26">
        <f>+Свет!E23+Согласие!E23+'Слава 40'!E34</f>
        <v>39799.042</v>
      </c>
      <c r="F22" s="26">
        <f>+Свет!F23+Согласие!F23+'Слава 40'!F34</f>
        <v>39799.042</v>
      </c>
      <c r="G22" s="26">
        <f>+Свет!G23+Согласие!G23+'Слава 40'!G34</f>
        <v>75077.08000000002</v>
      </c>
      <c r="H22" s="26">
        <f>+Свет!H23+Согласие!H23+'Слава 40'!H34</f>
        <v>75077.08000000002</v>
      </c>
    </row>
    <row r="23" spans="1:8" ht="15.75" thickBot="1">
      <c r="A23" s="42" t="s">
        <v>106</v>
      </c>
      <c r="B23" s="9" t="s">
        <v>123</v>
      </c>
      <c r="C23" s="52"/>
      <c r="D23" s="26">
        <f t="shared" si="0"/>
        <v>213394.42799999999</v>
      </c>
      <c r="E23" s="26">
        <f>+Согласие!E24</f>
        <v>106697.21399999999</v>
      </c>
      <c r="F23" s="26">
        <f>+Согласие!F24</f>
        <v>106697.21399999999</v>
      </c>
      <c r="G23" s="26">
        <v>0</v>
      </c>
      <c r="H23" s="26">
        <v>0</v>
      </c>
    </row>
    <row r="24" spans="1:8" ht="15.75" thickBot="1">
      <c r="A24" s="42" t="s">
        <v>109</v>
      </c>
      <c r="B24" s="9" t="s">
        <v>124</v>
      </c>
      <c r="C24" s="52"/>
      <c r="D24" s="26">
        <f t="shared" si="0"/>
        <v>518821.524</v>
      </c>
      <c r="E24" s="26">
        <f>+Согласие!E25</f>
        <v>259410.762</v>
      </c>
      <c r="F24" s="26">
        <f>+Согласие!F25</f>
        <v>259410.762</v>
      </c>
      <c r="G24" s="26">
        <v>0</v>
      </c>
      <c r="H24" s="26">
        <v>0</v>
      </c>
    </row>
    <row r="25" spans="1:8" ht="15.75" thickBot="1">
      <c r="A25" s="42" t="s">
        <v>122</v>
      </c>
      <c r="B25" s="9" t="s">
        <v>117</v>
      </c>
      <c r="C25" s="52"/>
      <c r="D25" s="26">
        <f>SUM(E25:H25)</f>
        <v>139776</v>
      </c>
      <c r="E25" s="26">
        <f>+'Слава 40'!E37</f>
        <v>34944</v>
      </c>
      <c r="F25" s="26">
        <f>+'Слава 40'!F37</f>
        <v>34944</v>
      </c>
      <c r="G25" s="26">
        <f>+'Слава 40'!G37</f>
        <v>34944</v>
      </c>
      <c r="H25" s="26">
        <f>+'Слава 40'!H37</f>
        <v>34944</v>
      </c>
    </row>
    <row r="26" spans="1:8" ht="15.75" thickBot="1">
      <c r="A26" s="11">
        <v>2</v>
      </c>
      <c r="B26" s="9" t="s">
        <v>34</v>
      </c>
      <c r="C26" s="50"/>
      <c r="D26" s="26">
        <f>SUM(E26:H26)</f>
        <v>219128.39999999997</v>
      </c>
      <c r="E26" s="26">
        <f>+Свет!E24+Согласие!E26+'Слава 40'!E39</f>
        <v>53910.189999999995</v>
      </c>
      <c r="F26" s="26">
        <f>+Свет!F24+Согласие!F26+'Слава 40'!F39</f>
        <v>53910.189999999995</v>
      </c>
      <c r="G26" s="26">
        <f>+Свет!G24+Согласие!G26+'Слава 40'!G39</f>
        <v>55654.009999999995</v>
      </c>
      <c r="H26" s="26">
        <f>+Свет!H24+Согласие!H26+'Слава 40'!H39</f>
        <v>55654.009999999995</v>
      </c>
    </row>
    <row r="27" spans="1:8" ht="15.75" thickBot="1">
      <c r="A27" s="11">
        <v>3</v>
      </c>
      <c r="B27" s="9" t="s">
        <v>64</v>
      </c>
      <c r="C27" s="50"/>
      <c r="D27" s="26">
        <f t="shared" si="0"/>
        <v>866400</v>
      </c>
      <c r="E27" s="26">
        <f>+Свет!E25+Согласие!E27+'Слава 40'!E40</f>
        <v>216600</v>
      </c>
      <c r="F27" s="26">
        <f>+Свет!F25+Согласие!F27+'Слава 40'!F40</f>
        <v>216600</v>
      </c>
      <c r="G27" s="26">
        <f>+Свет!G25+Согласие!G27+'Слава 40'!G40</f>
        <v>216600</v>
      </c>
      <c r="H27" s="26">
        <f>+Свет!H25+Согласие!H27+'Слава 40'!H40</f>
        <v>216600</v>
      </c>
    </row>
    <row r="28" spans="1:8" ht="15.75" thickBot="1">
      <c r="A28" s="39">
        <v>4</v>
      </c>
      <c r="B28" s="40" t="s">
        <v>65</v>
      </c>
      <c r="C28" s="59"/>
      <c r="D28" s="38" t="e">
        <f>+D11+D26+D27</f>
        <v>#REF!</v>
      </c>
      <c r="E28" s="38" t="e">
        <f>+E11+E26+E27</f>
        <v>#REF!</v>
      </c>
      <c r="F28" s="38" t="e">
        <f>+F11+F26+F27</f>
        <v>#REF!</v>
      </c>
      <c r="G28" s="38" t="e">
        <f>+G11+G26+G27</f>
        <v>#REF!</v>
      </c>
      <c r="H28" s="38" t="e">
        <f>+H11+H26+H27</f>
        <v>#REF!</v>
      </c>
    </row>
    <row r="29" spans="1:8" ht="15.75" thickBot="1">
      <c r="A29" s="6"/>
      <c r="B29" s="12" t="s">
        <v>10</v>
      </c>
      <c r="C29" s="51"/>
      <c r="D29" s="26"/>
      <c r="E29" s="26"/>
      <c r="F29" s="26"/>
      <c r="G29" s="26"/>
      <c r="H29" s="27"/>
    </row>
    <row r="30" spans="1:8" ht="15.75" thickBot="1">
      <c r="A30" s="6"/>
      <c r="B30" s="23" t="s">
        <v>35</v>
      </c>
      <c r="C30" s="49"/>
      <c r="D30" s="26"/>
      <c r="E30" s="26"/>
      <c r="F30" s="26"/>
      <c r="G30" s="26"/>
      <c r="H30" s="27"/>
    </row>
    <row r="31" spans="1:8" ht="15.75" thickBot="1">
      <c r="A31" s="30">
        <v>5</v>
      </c>
      <c r="B31" s="31" t="s">
        <v>15</v>
      </c>
      <c r="C31" s="60"/>
      <c r="D31" s="32">
        <f aca="true" t="shared" si="1" ref="D31:D56">SUM(E31:H31)</f>
        <v>3364011.3600000003</v>
      </c>
      <c r="E31" s="32">
        <f>SUM(E32:E37)</f>
        <v>819306.8400000001</v>
      </c>
      <c r="F31" s="32">
        <f>SUM(F32:F37)</f>
        <v>849006.8400000001</v>
      </c>
      <c r="G31" s="32">
        <f>SUM(G32:G37)</f>
        <v>879648.8400000001</v>
      </c>
      <c r="H31" s="32">
        <f>SUM(H32:H37)</f>
        <v>816048.8400000001</v>
      </c>
    </row>
    <row r="32" spans="1:8" ht="15.75" thickBot="1">
      <c r="A32" s="6">
        <v>5.1</v>
      </c>
      <c r="B32" s="9" t="s">
        <v>16</v>
      </c>
      <c r="C32" s="50"/>
      <c r="D32" s="26">
        <f t="shared" si="1"/>
        <v>2350092</v>
      </c>
      <c r="E32" s="26">
        <f>+Свет!E30+Согласие!E32+'Слава 40'!E49</f>
        <v>575023</v>
      </c>
      <c r="F32" s="26">
        <f>+Свет!F30+Согласие!F32+'Слава 40'!F49</f>
        <v>575023</v>
      </c>
      <c r="G32" s="26">
        <f>+Свет!G30+Согласие!G32+'Слава 40'!G49</f>
        <v>625023</v>
      </c>
      <c r="H32" s="26">
        <f>+Свет!H30+Согласие!H32+'Слава 40'!H49</f>
        <v>575023</v>
      </c>
    </row>
    <row r="33" spans="1:8" ht="15.75" thickBot="1">
      <c r="A33" s="11">
        <v>5.2</v>
      </c>
      <c r="B33" s="12" t="s">
        <v>39</v>
      </c>
      <c r="C33" s="51"/>
      <c r="D33" s="26">
        <f t="shared" si="1"/>
        <v>702480.16</v>
      </c>
      <c r="E33" s="26">
        <f>+Свет!E31+Согласие!E33+'Слава 40'!E50</f>
        <v>171845.04</v>
      </c>
      <c r="F33" s="26">
        <f>+Свет!F31+Согласие!F33+'Слава 40'!F50</f>
        <v>171845.04</v>
      </c>
      <c r="G33" s="26">
        <f>+Свет!G31+Согласие!G33+'Слава 40'!G50</f>
        <v>186945.04</v>
      </c>
      <c r="H33" s="26">
        <f>+Свет!H31+Согласие!H33+'Слава 40'!H50</f>
        <v>171845.04</v>
      </c>
    </row>
    <row r="34" spans="1:8" ht="15.75" thickBot="1">
      <c r="A34" s="6">
        <v>5.3</v>
      </c>
      <c r="B34" s="9" t="s">
        <v>36</v>
      </c>
      <c r="C34" s="50"/>
      <c r="D34" s="26">
        <f t="shared" si="1"/>
        <v>196963.2</v>
      </c>
      <c r="E34" s="26">
        <f>+Свет!E32+Согласие!E34</f>
        <v>42340.8</v>
      </c>
      <c r="F34" s="26">
        <f>+Свет!F32+Согласие!F34</f>
        <v>75040.8</v>
      </c>
      <c r="G34" s="26">
        <f>+Свет!G32+Согласие!G34</f>
        <v>37540.8</v>
      </c>
      <c r="H34" s="26">
        <f>+Свет!H32+Согласие!H34</f>
        <v>42040.8</v>
      </c>
    </row>
    <row r="35" spans="1:8" ht="15.75" thickBot="1">
      <c r="A35" s="6">
        <v>5.4</v>
      </c>
      <c r="B35" s="9" t="s">
        <v>17</v>
      </c>
      <c r="C35" s="50"/>
      <c r="D35" s="26">
        <f t="shared" si="1"/>
        <v>6000</v>
      </c>
      <c r="E35" s="26">
        <f>+Свет!E33+Согласие!E35</f>
        <v>3000</v>
      </c>
      <c r="F35" s="26">
        <f>+Свет!F33+Согласие!F35</f>
        <v>0</v>
      </c>
      <c r="G35" s="26">
        <f>+Свет!G33+Согласие!G35</f>
        <v>3000</v>
      </c>
      <c r="H35" s="26">
        <f>+Свет!H33+Согласие!H35</f>
        <v>0</v>
      </c>
    </row>
    <row r="36" spans="1:8" ht="15.75" thickBot="1">
      <c r="A36" s="6">
        <v>5.5</v>
      </c>
      <c r="B36" s="9" t="s">
        <v>37</v>
      </c>
      <c r="C36" s="50"/>
      <c r="D36" s="26">
        <f t="shared" si="1"/>
        <v>107676</v>
      </c>
      <c r="E36" s="26">
        <f>+Свет!E34+Согласие!E36</f>
        <v>26898</v>
      </c>
      <c r="F36" s="26">
        <f>+Свет!F34+Согласие!F36</f>
        <v>26898</v>
      </c>
      <c r="G36" s="26">
        <f>+Свет!G34+Согласие!G36</f>
        <v>26940</v>
      </c>
      <c r="H36" s="26">
        <f>+Свет!H34+Согласие!H36</f>
        <v>26940</v>
      </c>
    </row>
    <row r="37" spans="1:8" ht="15.75" thickBot="1">
      <c r="A37" s="6">
        <v>5.6</v>
      </c>
      <c r="B37" s="9" t="s">
        <v>66</v>
      </c>
      <c r="C37" s="50"/>
      <c r="D37" s="26">
        <f>SUM(E37:H37)</f>
        <v>800</v>
      </c>
      <c r="E37" s="26">
        <f>+Свет!E35+Согласие!E37</f>
        <v>200</v>
      </c>
      <c r="F37" s="26">
        <f>+Свет!F35+Согласие!F37</f>
        <v>200</v>
      </c>
      <c r="G37" s="26">
        <f>+Свет!G35+Согласие!G37</f>
        <v>200</v>
      </c>
      <c r="H37" s="26">
        <f>+Свет!H35+Согласие!H37</f>
        <v>200</v>
      </c>
    </row>
    <row r="38" spans="1:8" ht="15.75" thickBot="1">
      <c r="A38" s="30">
        <v>6</v>
      </c>
      <c r="B38" s="31" t="s">
        <v>50</v>
      </c>
      <c r="C38" s="60"/>
      <c r="D38" s="32">
        <f t="shared" si="1"/>
        <v>5538247.5604799995</v>
      </c>
      <c r="E38" s="32">
        <f>+E39+E40+E41+E42+E53+E51+E52</f>
        <v>1322022.71242</v>
      </c>
      <c r="F38" s="32">
        <f>+F39+F40+F41+F42+F53+F51+F52</f>
        <v>1387257.18994</v>
      </c>
      <c r="G38" s="32">
        <f>+G39+G40+G41+G42+G53+G51+G52</f>
        <v>1448679.88</v>
      </c>
      <c r="H38" s="32">
        <f>+H39+H40+H41+H42+H53+H51+H52</f>
        <v>1380287.77812</v>
      </c>
    </row>
    <row r="39" spans="1:8" ht="15.75" thickBot="1">
      <c r="A39" s="6">
        <v>6.1</v>
      </c>
      <c r="B39" s="9" t="s">
        <v>16</v>
      </c>
      <c r="C39" s="50"/>
      <c r="D39" s="26">
        <f t="shared" si="1"/>
        <v>2893800.2399999998</v>
      </c>
      <c r="E39" s="26">
        <f>+Свет!E37+Согласие!E39+'Слава 40'!E53</f>
        <v>714488.71</v>
      </c>
      <c r="F39" s="26">
        <f>+Свет!F37+Согласие!F39+'Слава 40'!F53</f>
        <v>706633.47</v>
      </c>
      <c r="G39" s="26">
        <f>+Свет!G37+Согласие!G39+'Слава 40'!G53</f>
        <v>767634</v>
      </c>
      <c r="H39" s="26">
        <f>+Свет!H37+Согласие!H39+'Слава 40'!H53</f>
        <v>705044.06</v>
      </c>
    </row>
    <row r="40" spans="1:8" ht="15.75" thickBot="1">
      <c r="A40" s="11">
        <v>6.2</v>
      </c>
      <c r="B40" s="12" t="s">
        <v>39</v>
      </c>
      <c r="C40" s="51"/>
      <c r="D40" s="26">
        <f t="shared" si="1"/>
        <v>873927.80048</v>
      </c>
      <c r="E40" s="26">
        <f>+Свет!E38+Согласие!E40+'Слава 40'!E54</f>
        <v>215775.62242</v>
      </c>
      <c r="F40" s="26">
        <f>+Свет!F38+Согласие!F40+'Слава 40'!F54</f>
        <v>213403.33994</v>
      </c>
      <c r="G40" s="26">
        <f>+Свет!G38+Согласие!G40+'Слава 40'!G54</f>
        <v>231825.5</v>
      </c>
      <c r="H40" s="26">
        <f>+Свет!H38+Согласие!H40+'Слава 40'!H54</f>
        <v>212923.33812</v>
      </c>
    </row>
    <row r="41" spans="1:8" ht="15.75" thickBot="1">
      <c r="A41" s="6">
        <v>6.3</v>
      </c>
      <c r="B41" s="9" t="s">
        <v>40</v>
      </c>
      <c r="C41" s="50"/>
      <c r="D41" s="26">
        <f t="shared" si="1"/>
        <v>126600</v>
      </c>
      <c r="E41" s="26">
        <f>+Свет!E39+Согласие!E41+'Слава 40'!E55</f>
        <v>23025</v>
      </c>
      <c r="F41" s="26">
        <f>+Свет!F39+Согласие!F41+'Слава 40'!F55</f>
        <v>40525</v>
      </c>
      <c r="G41" s="26">
        <f>+Свет!G39+Согласие!G41+'Слава 40'!G55</f>
        <v>22525</v>
      </c>
      <c r="H41" s="26">
        <f>+Свет!H39+Согласие!H41+'Слава 40'!H55</f>
        <v>40525</v>
      </c>
    </row>
    <row r="42" spans="1:8" ht="15.75" thickBot="1">
      <c r="A42" s="6">
        <v>6.4</v>
      </c>
      <c r="B42" s="9" t="s">
        <v>18</v>
      </c>
      <c r="C42" s="50"/>
      <c r="D42" s="26">
        <f t="shared" si="1"/>
        <v>1613067.52</v>
      </c>
      <c r="E42" s="26">
        <f>SUM(E44:E50)</f>
        <v>363470.38</v>
      </c>
      <c r="F42" s="26">
        <f>SUM(F44:F50)</f>
        <v>416532.38</v>
      </c>
      <c r="G42" s="26">
        <f>SUM(G44:G50)</f>
        <v>416532.38</v>
      </c>
      <c r="H42" s="26">
        <f>SUM(H44:H50)</f>
        <v>416532.38</v>
      </c>
    </row>
    <row r="43" spans="1:8" ht="15.75" thickBot="1">
      <c r="A43" s="6"/>
      <c r="B43" s="9" t="s">
        <v>19</v>
      </c>
      <c r="C43" s="50"/>
      <c r="D43" s="26"/>
      <c r="E43" s="26"/>
      <c r="F43" s="26"/>
      <c r="G43" s="26"/>
      <c r="H43" s="27"/>
    </row>
    <row r="44" spans="1:8" ht="15.75" thickBot="1">
      <c r="A44" s="35" t="s">
        <v>70</v>
      </c>
      <c r="B44" s="9" t="s">
        <v>20</v>
      </c>
      <c r="C44" s="62"/>
      <c r="D44" s="62">
        <f t="shared" si="1"/>
        <v>52624.72</v>
      </c>
      <c r="E44" s="26">
        <f>+Свет!E42+Согласие!E44+'Слава 40'!E58</f>
        <v>13156.18</v>
      </c>
      <c r="F44" s="26">
        <f>+Свет!F42+Согласие!F44+'Слава 40'!F58</f>
        <v>13156.18</v>
      </c>
      <c r="G44" s="26">
        <f>+Свет!G42+Согласие!G44+'Слава 40'!G58</f>
        <v>13156.18</v>
      </c>
      <c r="H44" s="26">
        <f>+Свет!H42+Согласие!H44+'Слава 40'!H58</f>
        <v>13156.18</v>
      </c>
    </row>
    <row r="45" spans="1:8" ht="15.75" thickBot="1">
      <c r="A45" s="35" t="s">
        <v>71</v>
      </c>
      <c r="B45" s="9" t="s">
        <v>41</v>
      </c>
      <c r="C45" s="62"/>
      <c r="D45" s="62">
        <f t="shared" si="1"/>
        <v>101892</v>
      </c>
      <c r="E45" s="26">
        <f>+Свет!E43+Согласие!E45</f>
        <v>25473</v>
      </c>
      <c r="F45" s="26">
        <f>+Свет!F43+Согласие!F45</f>
        <v>25473</v>
      </c>
      <c r="G45" s="26">
        <f>+Свет!G43+Согласие!G45</f>
        <v>25473</v>
      </c>
      <c r="H45" s="26">
        <f>+Свет!H43+Согласие!H45</f>
        <v>25473</v>
      </c>
    </row>
    <row r="46" spans="1:8" ht="15.75" thickBot="1">
      <c r="A46" s="35" t="s">
        <v>72</v>
      </c>
      <c r="B46" s="9" t="s">
        <v>42</v>
      </c>
      <c r="C46" s="62"/>
      <c r="D46" s="62">
        <f t="shared" si="1"/>
        <v>89992.8</v>
      </c>
      <c r="E46" s="26">
        <f>+Свет!E44+Согласие!E46+'Слава 40'!E60</f>
        <v>22498.2</v>
      </c>
      <c r="F46" s="26">
        <f>+Свет!F44+Согласие!F46+'Слава 40'!F60</f>
        <v>22498.2</v>
      </c>
      <c r="G46" s="26">
        <f>+Свет!G44+Согласие!G46+'Слава 40'!G60</f>
        <v>22498.2</v>
      </c>
      <c r="H46" s="26">
        <f>+Свет!H44+Согласие!H46+'Слава 40'!H60</f>
        <v>22498.2</v>
      </c>
    </row>
    <row r="47" spans="1:8" ht="15.75" thickBot="1">
      <c r="A47" s="35" t="s">
        <v>73</v>
      </c>
      <c r="B47" s="9" t="s">
        <v>45</v>
      </c>
      <c r="C47" s="62"/>
      <c r="D47" s="62">
        <f t="shared" si="1"/>
        <v>921240</v>
      </c>
      <c r="E47" s="26">
        <f>+Свет!E45+Согласие!E47+'Слава 40'!E61</f>
        <v>230310</v>
      </c>
      <c r="F47" s="26">
        <f>+Свет!F45+Согласие!F47+'Слава 40'!F61</f>
        <v>230310</v>
      </c>
      <c r="G47" s="26">
        <f>+Свет!G45+Согласие!G47+'Слава 40'!G61</f>
        <v>230310</v>
      </c>
      <c r="H47" s="26">
        <f>+Свет!H45+Согласие!H47+'Слава 40'!H61</f>
        <v>230310</v>
      </c>
    </row>
    <row r="48" spans="1:8" ht="15.75" thickBot="1">
      <c r="A48" s="35" t="s">
        <v>74</v>
      </c>
      <c r="B48" s="9" t="s">
        <v>48</v>
      </c>
      <c r="C48" s="50"/>
      <c r="D48" s="62">
        <f>SUM(E48:H48)</f>
        <v>40800</v>
      </c>
      <c r="E48" s="26">
        <f>+Свет!E46+Согласие!E48</f>
        <v>10200</v>
      </c>
      <c r="F48" s="26">
        <f>+Свет!F46+Согласие!F48</f>
        <v>10200</v>
      </c>
      <c r="G48" s="26">
        <f>+Свет!G46+Согласие!G48</f>
        <v>10200</v>
      </c>
      <c r="H48" s="26">
        <f>+Свет!H46+Согласие!H48</f>
        <v>10200</v>
      </c>
    </row>
    <row r="49" spans="1:8" ht="15.75" thickBot="1">
      <c r="A49" s="35" t="s">
        <v>129</v>
      </c>
      <c r="B49" s="9" t="s">
        <v>127</v>
      </c>
      <c r="C49" s="50"/>
      <c r="D49" s="62">
        <f>SUM(E49:H49)</f>
        <v>398418</v>
      </c>
      <c r="E49" s="26">
        <f>+'Слава 40'!E59</f>
        <v>59808</v>
      </c>
      <c r="F49" s="26">
        <v>112870</v>
      </c>
      <c r="G49" s="26">
        <v>112870</v>
      </c>
      <c r="H49" s="26">
        <v>112870</v>
      </c>
    </row>
    <row r="50" spans="1:8" ht="15.75" thickBot="1">
      <c r="A50" s="35" t="s">
        <v>129</v>
      </c>
      <c r="B50" s="9" t="s">
        <v>128</v>
      </c>
      <c r="C50" s="50"/>
      <c r="D50" s="62">
        <f>SUM(E50:H50)</f>
        <v>8100</v>
      </c>
      <c r="E50" s="26">
        <f>+'Слава 40'!E62</f>
        <v>2025</v>
      </c>
      <c r="F50" s="26">
        <f>+'Слава 40'!F62</f>
        <v>2025</v>
      </c>
      <c r="G50" s="26">
        <f>+'Слава 40'!G62</f>
        <v>2025</v>
      </c>
      <c r="H50" s="26">
        <f>+'Слава 40'!H62</f>
        <v>2025</v>
      </c>
    </row>
    <row r="51" spans="1:8" ht="15.75" thickBot="1">
      <c r="A51" s="35" t="s">
        <v>125</v>
      </c>
      <c r="B51" s="9" t="s">
        <v>130</v>
      </c>
      <c r="C51" s="50"/>
      <c r="D51" s="62">
        <f>SUM(E51:H51)</f>
        <v>9800</v>
      </c>
      <c r="E51" s="26">
        <f>+'Слава 40'!E63</f>
        <v>0</v>
      </c>
      <c r="F51" s="26">
        <f>+'Слава 40'!F63</f>
        <v>4900</v>
      </c>
      <c r="G51" s="26">
        <f>+'Слава 40'!G63</f>
        <v>4900</v>
      </c>
      <c r="H51" s="26">
        <f>+'Слава 40'!H63</f>
        <v>0</v>
      </c>
    </row>
    <row r="52" spans="1:8" ht="15.75" thickBot="1">
      <c r="A52" s="35" t="s">
        <v>131</v>
      </c>
      <c r="B52" s="9" t="s">
        <v>132</v>
      </c>
      <c r="C52" s="50"/>
      <c r="D52" s="62">
        <f>SUM(E52:H52)</f>
        <v>9052</v>
      </c>
      <c r="E52" s="26">
        <f>+'Слава 40'!E64</f>
        <v>2263</v>
      </c>
      <c r="F52" s="26">
        <f>+'Слава 40'!F64</f>
        <v>2263</v>
      </c>
      <c r="G52" s="26">
        <f>+'Слава 40'!G64</f>
        <v>2263</v>
      </c>
      <c r="H52" s="26">
        <f>+'Слава 40'!H64</f>
        <v>2263</v>
      </c>
    </row>
    <row r="53" spans="1:8" ht="15.75" thickBot="1">
      <c r="A53" s="35" t="s">
        <v>133</v>
      </c>
      <c r="B53" s="9" t="s">
        <v>134</v>
      </c>
      <c r="C53" s="50"/>
      <c r="D53" s="62">
        <f t="shared" si="1"/>
        <v>12000</v>
      </c>
      <c r="E53" s="26">
        <f>+'Слава 40'!E66</f>
        <v>3000</v>
      </c>
      <c r="F53" s="26">
        <f>+'Слава 40'!F66</f>
        <v>3000</v>
      </c>
      <c r="G53" s="26">
        <f>+'Слава 40'!G66</f>
        <v>3000</v>
      </c>
      <c r="H53" s="26">
        <f>+'Слава 40'!H66</f>
        <v>3000</v>
      </c>
    </row>
    <row r="54" spans="1:8" ht="15.75" thickBot="1">
      <c r="A54" s="33">
        <v>7</v>
      </c>
      <c r="B54" s="31" t="s">
        <v>49</v>
      </c>
      <c r="C54" s="60"/>
      <c r="D54" s="32" t="e">
        <f t="shared" si="1"/>
        <v>#REF!</v>
      </c>
      <c r="E54" s="32" t="e">
        <f>SUM(E55:E57)</f>
        <v>#REF!</v>
      </c>
      <c r="F54" s="32" t="e">
        <f>SUM(F55:F57)</f>
        <v>#REF!</v>
      </c>
      <c r="G54" s="32" t="e">
        <f>SUM(G55:G57)</f>
        <v>#REF!</v>
      </c>
      <c r="H54" s="32" t="e">
        <f>SUM(H55:H57)</f>
        <v>#REF!</v>
      </c>
    </row>
    <row r="55" spans="1:8" ht="15.75" thickBot="1">
      <c r="A55" s="6">
        <v>7.1</v>
      </c>
      <c r="B55" s="9" t="s">
        <v>16</v>
      </c>
      <c r="C55" s="50"/>
      <c r="D55" s="26" t="e">
        <f t="shared" si="1"/>
        <v>#REF!</v>
      </c>
      <c r="E55" s="26" t="e">
        <f>+Свет!E48+Согласие!E50+'Слава 40'!#REF!</f>
        <v>#REF!</v>
      </c>
      <c r="F55" s="26" t="e">
        <f>+Свет!F48+Согласие!F50+'Слава 40'!#REF!</f>
        <v>#REF!</v>
      </c>
      <c r="G55" s="26" t="e">
        <f>+Свет!G48+Согласие!G50+'Слава 40'!#REF!</f>
        <v>#REF!</v>
      </c>
      <c r="H55" s="26" t="e">
        <f>+Свет!H48+Согласие!H50+'Слава 40'!#REF!</f>
        <v>#REF!</v>
      </c>
    </row>
    <row r="56" spans="1:8" ht="15.75" thickBot="1">
      <c r="A56" s="6">
        <v>7.2</v>
      </c>
      <c r="B56" s="12" t="s">
        <v>39</v>
      </c>
      <c r="C56" s="50"/>
      <c r="D56" s="26" t="e">
        <f t="shared" si="1"/>
        <v>#REF!</v>
      </c>
      <c r="E56" s="26" t="e">
        <f>+Свет!E49+Согласие!E51+'Слава 40'!#REF!</f>
        <v>#REF!</v>
      </c>
      <c r="F56" s="26" t="e">
        <f>+Свет!F49+Согласие!F51+'Слава 40'!#REF!</f>
        <v>#REF!</v>
      </c>
      <c r="G56" s="26" t="e">
        <f>+Свет!G49+Согласие!G51+'Слава 40'!#REF!</f>
        <v>#REF!</v>
      </c>
      <c r="H56" s="26" t="e">
        <f>+Свет!H49+Согласие!H51+'Слава 40'!#REF!</f>
        <v>#REF!</v>
      </c>
    </row>
    <row r="57" spans="1:8" ht="15.75" thickBot="1">
      <c r="A57" s="6">
        <v>7.3</v>
      </c>
      <c r="B57" s="9" t="s">
        <v>40</v>
      </c>
      <c r="C57" s="50"/>
      <c r="D57" s="26">
        <f>SUM(E57:H57)</f>
        <v>41000</v>
      </c>
      <c r="E57" s="26">
        <f>+Свет!E50+Согласие!E52</f>
        <v>1500</v>
      </c>
      <c r="F57" s="26">
        <f>+Свет!F50+Согласие!F52</f>
        <v>19000</v>
      </c>
      <c r="G57" s="26">
        <f>+Свет!G50+Согласие!G52</f>
        <v>1500</v>
      </c>
      <c r="H57" s="26">
        <f>+Свет!H50+Согласие!H52</f>
        <v>19000</v>
      </c>
    </row>
    <row r="58" spans="1:8" ht="15.75" thickBot="1">
      <c r="A58" s="33">
        <v>8</v>
      </c>
      <c r="B58" s="31" t="s">
        <v>51</v>
      </c>
      <c r="C58" s="60"/>
      <c r="D58" s="32">
        <f aca="true" t="shared" si="2" ref="D58:D70">SUM(E58:H58)</f>
        <v>1074503.08</v>
      </c>
      <c r="E58" s="32">
        <f>SUM(E59:E61)</f>
        <v>252738.02</v>
      </c>
      <c r="F58" s="32">
        <f>SUM(F59:F61)</f>
        <v>266738.02</v>
      </c>
      <c r="G58" s="32">
        <f>SUM(G59:G61)</f>
        <v>307223.02</v>
      </c>
      <c r="H58" s="32">
        <f>SUM(H59:H61)</f>
        <v>247804.02</v>
      </c>
    </row>
    <row r="59" spans="1:8" ht="15.75" thickBot="1">
      <c r="A59" s="6">
        <v>8.1</v>
      </c>
      <c r="B59" s="9" t="s">
        <v>52</v>
      </c>
      <c r="C59" s="50"/>
      <c r="D59" s="26">
        <f t="shared" si="2"/>
        <v>991084.08</v>
      </c>
      <c r="E59" s="26">
        <f>+Свет!E52+Согласие!E54+'Слава 40'!E68</f>
        <v>247738.02</v>
      </c>
      <c r="F59" s="26">
        <f>+Свет!F52+Согласие!F54+'Слава 40'!F68</f>
        <v>247738.02</v>
      </c>
      <c r="G59" s="26">
        <f>+Свет!G52+Согласие!G54+'Слава 40'!G68</f>
        <v>247804.02</v>
      </c>
      <c r="H59" s="26">
        <f>+Свет!H52+Согласие!H54+'Слава 40'!H68</f>
        <v>247804.02</v>
      </c>
    </row>
    <row r="60" spans="1:8" ht="15.75" thickBot="1">
      <c r="A60" s="6">
        <v>8.2</v>
      </c>
      <c r="B60" s="9" t="s">
        <v>53</v>
      </c>
      <c r="C60" s="50"/>
      <c r="D60" s="26">
        <f t="shared" si="2"/>
        <v>8800</v>
      </c>
      <c r="E60" s="26">
        <f>+Свет!E53+Согласие!E55+'Слава 40'!E69</f>
        <v>5000</v>
      </c>
      <c r="F60" s="26">
        <f>+Свет!F53+Согласие!F55+'Слава 40'!F69</f>
        <v>1500</v>
      </c>
      <c r="G60" s="26">
        <f>+Свет!G53+Согласие!G55+'Слава 40'!G69</f>
        <v>2300</v>
      </c>
      <c r="H60" s="26">
        <f>+Свет!H53+Согласие!H55+'Слава 40'!H69</f>
        <v>0</v>
      </c>
    </row>
    <row r="61" spans="1:8" ht="15.75" thickBot="1">
      <c r="A61" s="6">
        <v>8.3</v>
      </c>
      <c r="B61" s="9" t="s">
        <v>54</v>
      </c>
      <c r="C61" s="50"/>
      <c r="D61" s="26">
        <f t="shared" si="2"/>
        <v>74619</v>
      </c>
      <c r="E61" s="26">
        <f>+Свет!E54+Согласие!E56+'Слава 40'!E70</f>
        <v>0</v>
      </c>
      <c r="F61" s="26">
        <f>+Свет!F54+Согласие!F56+'Слава 40'!F70</f>
        <v>17500</v>
      </c>
      <c r="G61" s="26">
        <f>+Свет!G54+Согласие!G56+'Слава 40'!G70</f>
        <v>57119</v>
      </c>
      <c r="H61" s="26">
        <f>+Свет!H54+Согласие!H56+'Слава 40'!H70</f>
        <v>0</v>
      </c>
    </row>
    <row r="62" spans="1:8" ht="15.75" thickBot="1">
      <c r="A62" s="33">
        <v>9</v>
      </c>
      <c r="B62" s="31" t="s">
        <v>55</v>
      </c>
      <c r="C62" s="60"/>
      <c r="D62" s="32">
        <f t="shared" si="2"/>
        <v>260876</v>
      </c>
      <c r="E62" s="32">
        <f>+Свет!E55+Согласие!E57+'Слава 40'!E71</f>
        <v>65219</v>
      </c>
      <c r="F62" s="32">
        <f>+Свет!F55+Согласие!F57+'Слава 40'!F71</f>
        <v>65219</v>
      </c>
      <c r="G62" s="32">
        <f>+Свет!G55+Согласие!G57+'Слава 40'!G71</f>
        <v>65219</v>
      </c>
      <c r="H62" s="32">
        <f>+Свет!H55+Согласие!H57+'Слава 40'!H71</f>
        <v>65219</v>
      </c>
    </row>
    <row r="63" spans="1:8" ht="15.75" thickBot="1">
      <c r="A63" s="33">
        <v>10</v>
      </c>
      <c r="B63" s="31" t="s">
        <v>56</v>
      </c>
      <c r="C63" s="60"/>
      <c r="D63" s="32">
        <f t="shared" si="2"/>
        <v>225532.54</v>
      </c>
      <c r="E63" s="32">
        <f>+Свет!E56+Согласие!E58+'Слава 40'!E72</f>
        <v>54874.270000000004</v>
      </c>
      <c r="F63" s="32">
        <f>+Свет!F56+Согласие!F58+'Слава 40'!F72</f>
        <v>54874.270000000004</v>
      </c>
      <c r="G63" s="32">
        <f>+Свет!G56+Согласие!G58+'Слава 40'!G72</f>
        <v>57892</v>
      </c>
      <c r="H63" s="32">
        <f>+Свет!H56+Согласие!H58+'Слава 40'!H72</f>
        <v>57892</v>
      </c>
    </row>
    <row r="64" spans="1:8" ht="15.75" thickBot="1">
      <c r="A64" s="33">
        <v>11</v>
      </c>
      <c r="B64" s="31" t="s">
        <v>58</v>
      </c>
      <c r="C64" s="60"/>
      <c r="D64" s="32">
        <f t="shared" si="2"/>
        <v>843741.8019999999</v>
      </c>
      <c r="E64" s="32">
        <f>SUM(E65:E67)</f>
        <v>186092.256</v>
      </c>
      <c r="F64" s="32">
        <f>SUM(F65:F67)</f>
        <v>218618.456</v>
      </c>
      <c r="G64" s="32">
        <f>SUM(G65:G67)</f>
        <v>263394.545</v>
      </c>
      <c r="H64" s="32">
        <f>SUM(H65:H67)</f>
        <v>175636.54499999998</v>
      </c>
    </row>
    <row r="65" spans="1:8" ht="15.75" thickBot="1">
      <c r="A65" s="6">
        <v>11.1</v>
      </c>
      <c r="B65" s="9" t="s">
        <v>16</v>
      </c>
      <c r="C65" s="50"/>
      <c r="D65" s="26">
        <f t="shared" si="2"/>
        <v>582751</v>
      </c>
      <c r="E65" s="26">
        <f>+Свет!E58+Согласие!E60+'Слава 40'!E74</f>
        <v>142928</v>
      </c>
      <c r="F65" s="26">
        <f>+Свет!F58+Согласие!F60+'Слава 40'!F74</f>
        <v>141028</v>
      </c>
      <c r="G65" s="26">
        <f>+Свет!G58+Согласие!G60+'Слава 40'!G74</f>
        <v>163897.5</v>
      </c>
      <c r="H65" s="26">
        <f>+Свет!H58+Согласие!H60+'Слава 40'!H74</f>
        <v>134897.5</v>
      </c>
    </row>
    <row r="66" spans="1:8" ht="15.75" thickBot="1">
      <c r="A66" s="6">
        <v>11.2</v>
      </c>
      <c r="B66" s="12" t="s">
        <v>39</v>
      </c>
      <c r="C66" s="62"/>
      <c r="D66" s="26">
        <f t="shared" si="2"/>
        <v>175990.80199999997</v>
      </c>
      <c r="E66" s="26">
        <f>+Свет!E59+Согласие!E61+'Слава 40'!E75</f>
        <v>43164.256</v>
      </c>
      <c r="F66" s="26">
        <f>+Свет!F59+Согласие!F61+'Слава 40'!F75</f>
        <v>42590.456</v>
      </c>
      <c r="G66" s="26">
        <f>+Свет!G59+Согласие!G61+'Слава 40'!G75</f>
        <v>49497.045</v>
      </c>
      <c r="H66" s="26">
        <f>+Свет!H59+Согласие!H61+'Слава 40'!H75</f>
        <v>40739.045</v>
      </c>
    </row>
    <row r="67" spans="1:8" ht="15.75" thickBot="1">
      <c r="A67" s="6">
        <v>11.3</v>
      </c>
      <c r="B67" s="9" t="s">
        <v>59</v>
      </c>
      <c r="C67" s="50"/>
      <c r="D67" s="26">
        <f>SUM(E67:H67)</f>
        <v>85000</v>
      </c>
      <c r="E67" s="26">
        <f>+Свет!E60+Согласие!E62</f>
        <v>0</v>
      </c>
      <c r="F67" s="26">
        <f>+Свет!F60+Согласие!F62</f>
        <v>35000</v>
      </c>
      <c r="G67" s="26">
        <f>+Свет!G60+Согласие!G62</f>
        <v>50000</v>
      </c>
      <c r="H67" s="26">
        <f>+Свет!H60+Согласие!H62</f>
        <v>0</v>
      </c>
    </row>
    <row r="68" spans="1:8" ht="15.75" thickBot="1">
      <c r="A68" s="30">
        <v>12</v>
      </c>
      <c r="B68" s="31" t="s">
        <v>60</v>
      </c>
      <c r="C68" s="60"/>
      <c r="D68" s="32">
        <f t="shared" si="2"/>
        <v>2937405</v>
      </c>
      <c r="E68" s="32">
        <f>+E69</f>
        <v>250000</v>
      </c>
      <c r="F68" s="32">
        <f>+F69</f>
        <v>900000</v>
      </c>
      <c r="G68" s="32">
        <f>+G69</f>
        <v>1753238</v>
      </c>
      <c r="H68" s="34">
        <f>+H69</f>
        <v>34167</v>
      </c>
    </row>
    <row r="69" spans="1:10" ht="15.75" thickBot="1">
      <c r="A69" s="6">
        <v>12.1</v>
      </c>
      <c r="B69" s="9" t="s">
        <v>61</v>
      </c>
      <c r="C69" s="50"/>
      <c r="D69" s="26">
        <f t="shared" si="2"/>
        <v>2937405</v>
      </c>
      <c r="E69" s="26">
        <f>+Свет!E62+Согласие!E64+'Слава 40'!E77</f>
        <v>250000</v>
      </c>
      <c r="F69" s="26">
        <f>+Свет!F62+Согласие!F64+'Слава 40'!F77</f>
        <v>900000</v>
      </c>
      <c r="G69" s="26">
        <f>+Свет!G62+Согласие!G64+'Слава 40'!G77</f>
        <v>1753238</v>
      </c>
      <c r="H69" s="26">
        <f>+Свет!H62+Согласие!H64+'Слава 40'!H77</f>
        <v>34167</v>
      </c>
      <c r="I69" s="46"/>
      <c r="J69" s="47"/>
    </row>
    <row r="70" spans="1:8" ht="15.75" thickBot="1">
      <c r="A70" s="30">
        <v>13</v>
      </c>
      <c r="B70" s="31" t="s">
        <v>62</v>
      </c>
      <c r="C70" s="60"/>
      <c r="D70" s="32">
        <f t="shared" si="2"/>
        <v>232156</v>
      </c>
      <c r="E70" s="32">
        <f>+Свет!E63+Согласие!E65+'Слава 40'!E78</f>
        <v>58039</v>
      </c>
      <c r="F70" s="32">
        <f>+Свет!F63+Согласие!F65+'Слава 40'!F78</f>
        <v>58039</v>
      </c>
      <c r="G70" s="32">
        <f>+Свет!G63+Согласие!G65+'Слава 40'!G78</f>
        <v>58039</v>
      </c>
      <c r="H70" s="32">
        <f>+Свет!H63+Согласие!H65+'Слава 40'!H78</f>
        <v>58039</v>
      </c>
    </row>
    <row r="71" spans="1:8" ht="15.75" thickBot="1">
      <c r="A71" s="30">
        <v>14</v>
      </c>
      <c r="B71" s="31" t="s">
        <v>118</v>
      </c>
      <c r="C71" s="60"/>
      <c r="D71" s="32">
        <f>SUM(E71:H71)</f>
        <v>139776</v>
      </c>
      <c r="E71" s="32">
        <f>+'Слава 40'!E80</f>
        <v>34944</v>
      </c>
      <c r="F71" s="32">
        <f>+'Слава 40'!F80</f>
        <v>34944</v>
      </c>
      <c r="G71" s="32">
        <f>+'Слава 40'!G80</f>
        <v>34944</v>
      </c>
      <c r="H71" s="32">
        <f>+'Слава 40'!H80</f>
        <v>34944</v>
      </c>
    </row>
    <row r="72" spans="1:8" ht="15.75" thickBot="1">
      <c r="A72" s="36">
        <v>15</v>
      </c>
      <c r="B72" s="37" t="s">
        <v>126</v>
      </c>
      <c r="C72" s="58"/>
      <c r="D72" s="38" t="e">
        <f>+D70+D68+D64+D63+D62+D58+D54+D38+D31+D71</f>
        <v>#REF!</v>
      </c>
      <c r="E72" s="38" t="e">
        <f>+E70+E68+E64+E63+E62+E58+E54+E38+E31+E71</f>
        <v>#REF!</v>
      </c>
      <c r="F72" s="38" t="e">
        <f>+F70+F68+F64+F63+F62+F58+F54+F38+F31+F71</f>
        <v>#REF!</v>
      </c>
      <c r="G72" s="38" t="e">
        <f>+G70+G68+G64+G63+G62+G58+G54+G38+G31+G71</f>
        <v>#REF!</v>
      </c>
      <c r="H72" s="38" t="e">
        <f>+H70+H68+H64+H63+H62+H58+H54+H38+H31+H71</f>
        <v>#REF!</v>
      </c>
    </row>
    <row r="73" spans="1:8" ht="15.75" thickBot="1">
      <c r="A73" s="6">
        <v>16</v>
      </c>
      <c r="B73" s="9" t="s">
        <v>21</v>
      </c>
      <c r="C73" s="62"/>
      <c r="D73" s="26">
        <f>SUM(E73:H73)</f>
        <v>478900</v>
      </c>
      <c r="E73" s="26">
        <f>+Свет!E65+Согласие!E67+'Слава 40'!E82</f>
        <v>119725</v>
      </c>
      <c r="F73" s="26">
        <f>+Свет!F65+Согласие!F67+'Слава 40'!F82</f>
        <v>119725</v>
      </c>
      <c r="G73" s="26">
        <f>+Свет!G65+Согласие!G67+'Слава 40'!G82</f>
        <v>119725</v>
      </c>
      <c r="H73" s="26">
        <f>+Свет!H65+Согласие!H67+'Слава 40'!H82</f>
        <v>119725</v>
      </c>
    </row>
    <row r="74" spans="1:8" ht="15.75" thickBot="1">
      <c r="A74" s="13">
        <v>17</v>
      </c>
      <c r="B74" s="14" t="s">
        <v>68</v>
      </c>
      <c r="C74" s="82"/>
      <c r="D74" s="26" t="e">
        <f>SUM(E74:H74)</f>
        <v>#REF!</v>
      </c>
      <c r="E74" s="26" t="e">
        <f>+E73+E72</f>
        <v>#REF!</v>
      </c>
      <c r="F74" s="26" t="e">
        <f>+F73+F72</f>
        <v>#REF!</v>
      </c>
      <c r="G74" s="26" t="e">
        <f>+G73+G72</f>
        <v>#REF!</v>
      </c>
      <c r="H74" s="27" t="e">
        <f>+H73+H72</f>
        <v>#REF!</v>
      </c>
    </row>
    <row r="75" spans="1:8" ht="15.75" thickBot="1">
      <c r="A75" s="6">
        <v>18</v>
      </c>
      <c r="B75" s="9" t="s">
        <v>22</v>
      </c>
      <c r="C75" s="62"/>
      <c r="D75" s="26">
        <f>SUM(E75:H75)</f>
        <v>22946.96</v>
      </c>
      <c r="E75" s="26">
        <f>+Свет!E67+Согласие!E69+'Слава 40'!E84</f>
        <v>5736.74</v>
      </c>
      <c r="F75" s="26">
        <f>+Свет!F67+Согласие!F69+'Слава 40'!F84</f>
        <v>5736.74</v>
      </c>
      <c r="G75" s="26">
        <f>+Свет!G67+Согласие!G69+'Слава 40'!G84</f>
        <v>5736.74</v>
      </c>
      <c r="H75" s="26">
        <f>+Свет!H67+Согласие!H69+'Слава 40'!H84</f>
        <v>5736.74</v>
      </c>
    </row>
    <row r="76" spans="1:8" ht="30.75" thickBot="1">
      <c r="A76" s="15">
        <v>19</v>
      </c>
      <c r="B76" s="16" t="s">
        <v>76</v>
      </c>
      <c r="C76" s="54"/>
      <c r="D76" s="43" t="e">
        <f>+D28-D74-D75</f>
        <v>#REF!</v>
      </c>
      <c r="E76" s="43" t="e">
        <f>+E28-E74-E75</f>
        <v>#REF!</v>
      </c>
      <c r="F76" s="43" t="e">
        <f>+F28-F74-F75</f>
        <v>#REF!</v>
      </c>
      <c r="G76" s="43" t="e">
        <f>+G28-G74-G75</f>
        <v>#REF!</v>
      </c>
      <c r="H76" s="43" t="e">
        <f>+H28-H74-H75</f>
        <v>#REF!</v>
      </c>
    </row>
    <row r="77" spans="1:8" ht="15.75" thickBot="1">
      <c r="A77" s="17">
        <v>20</v>
      </c>
      <c r="B77" s="18" t="s">
        <v>23</v>
      </c>
      <c r="C77" s="55"/>
      <c r="D77" s="44" t="e">
        <f>SUM(E77:H77)</f>
        <v>#REF!</v>
      </c>
      <c r="E77" s="45" t="e">
        <f>SUM(E78:E79)</f>
        <v>#REF!</v>
      </c>
      <c r="F77" s="45" t="e">
        <f>SUM(F78:F79)</f>
        <v>#REF!</v>
      </c>
      <c r="G77" s="45" t="e">
        <f>SUM(G78:G79)</f>
        <v>#REF!</v>
      </c>
      <c r="H77" s="45" t="e">
        <f>SUM(H78:H79)</f>
        <v>#REF!</v>
      </c>
    </row>
    <row r="78" spans="1:8" ht="15.75" thickBot="1">
      <c r="A78" s="35" t="s">
        <v>120</v>
      </c>
      <c r="B78" s="19" t="s">
        <v>77</v>
      </c>
      <c r="C78" s="56"/>
      <c r="D78" s="26" t="e">
        <f>SUM(E78:H78)</f>
        <v>#REF!</v>
      </c>
      <c r="E78" s="28" t="e">
        <f>+E76-E79</f>
        <v>#REF!</v>
      </c>
      <c r="F78" s="28" t="e">
        <f>+F76-F79</f>
        <v>#REF!</v>
      </c>
      <c r="G78" s="28" t="e">
        <f>+G76-G79</f>
        <v>#REF!</v>
      </c>
      <c r="H78" s="28" t="e">
        <f>+H76-H79</f>
        <v>#REF!</v>
      </c>
    </row>
    <row r="79" spans="1:8" ht="15.75" thickBot="1">
      <c r="A79" s="80" t="s">
        <v>121</v>
      </c>
      <c r="B79" s="21" t="s">
        <v>69</v>
      </c>
      <c r="C79" s="57"/>
      <c r="D79" s="26" t="e">
        <f>SUM(E79:H79)</f>
        <v>#REF!</v>
      </c>
      <c r="E79" s="29" t="e">
        <f>+E21</f>
        <v>#REF!</v>
      </c>
      <c r="F79" s="29" t="e">
        <f>+F21</f>
        <v>#REF!</v>
      </c>
      <c r="G79" s="29" t="e">
        <f>+G21</f>
        <v>#REF!</v>
      </c>
      <c r="H79" s="29" t="e">
        <f>+H21</f>
        <v>#REF!</v>
      </c>
    </row>
    <row r="80" spans="1:8" ht="15.75" thickTop="1">
      <c r="A80" s="1"/>
      <c r="B80" s="112"/>
      <c r="C80" s="112"/>
      <c r="D80" s="112"/>
      <c r="E80" s="112"/>
      <c r="F80" s="112"/>
      <c r="G80" s="112"/>
      <c r="H80" s="112"/>
    </row>
    <row r="81" spans="1:8" ht="15">
      <c r="A81" s="1"/>
      <c r="B81" s="113"/>
      <c r="C81" s="113"/>
      <c r="D81" s="113"/>
      <c r="E81" s="113"/>
      <c r="F81" s="113"/>
      <c r="G81" s="113"/>
      <c r="H81" s="113"/>
    </row>
    <row r="82" spans="1:8" ht="15">
      <c r="A82" s="1"/>
      <c r="B82" s="22"/>
      <c r="C82" s="22"/>
      <c r="D82" s="61"/>
      <c r="E82" s="3"/>
      <c r="F82" s="3"/>
      <c r="G82" s="3"/>
      <c r="H82" s="3"/>
    </row>
    <row r="83" spans="1:8" ht="15">
      <c r="A83" s="1"/>
      <c r="B83" s="3"/>
      <c r="C83" s="3"/>
      <c r="D83" s="81"/>
      <c r="E83" s="3"/>
      <c r="F83" s="3"/>
      <c r="G83" s="3"/>
      <c r="H83" s="3"/>
    </row>
    <row r="84" spans="1:8" ht="15">
      <c r="A84" s="3"/>
      <c r="B84" s="3"/>
      <c r="C84" s="3"/>
      <c r="D84" s="61"/>
      <c r="E84" s="3"/>
      <c r="F84" s="3"/>
      <c r="G84" s="3"/>
      <c r="H84" s="3"/>
    </row>
    <row r="85" spans="1:4" ht="15.75">
      <c r="A85" s="2"/>
      <c r="B85" s="24"/>
      <c r="D85" s="47"/>
    </row>
    <row r="86" spans="2:4" ht="12.75">
      <c r="B86" s="25"/>
      <c r="C86" s="47"/>
      <c r="D86" s="47"/>
    </row>
  </sheetData>
  <sheetProtection/>
  <mergeCells count="11">
    <mergeCell ref="A1:H1"/>
    <mergeCell ref="A2:H2"/>
    <mergeCell ref="A3:H3"/>
    <mergeCell ref="A4:H4"/>
    <mergeCell ref="E6:H6"/>
    <mergeCell ref="B80:H80"/>
    <mergeCell ref="B81:H81"/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55">
      <selection activeCell="E65" sqref="E65"/>
    </sheetView>
  </sheetViews>
  <sheetFormatPr defaultColWidth="9.00390625" defaultRowHeight="12.75"/>
  <cols>
    <col min="1" max="1" width="10.125" style="0" customWidth="1"/>
    <col min="2" max="2" width="47.375" style="0" customWidth="1"/>
    <col min="3" max="3" width="13.25390625" style="0" customWidth="1"/>
    <col min="4" max="4" width="11.25390625" style="0" customWidth="1"/>
    <col min="5" max="5" width="13.00390625" style="0" customWidth="1"/>
    <col min="6" max="6" width="11.625" style="0" customWidth="1"/>
    <col min="7" max="7" width="12.125" style="0" customWidth="1"/>
    <col min="8" max="8" width="11.375" style="0" customWidth="1"/>
  </cols>
  <sheetData>
    <row r="1" spans="1:8" ht="14.25">
      <c r="A1" s="120" t="s">
        <v>0</v>
      </c>
      <c r="B1" s="120"/>
      <c r="C1" s="120"/>
      <c r="D1" s="120"/>
      <c r="E1" s="120"/>
      <c r="F1" s="120"/>
      <c r="G1" s="120"/>
      <c r="H1" s="120"/>
    </row>
    <row r="2" spans="1:8" ht="15">
      <c r="A2" s="121" t="s">
        <v>90</v>
      </c>
      <c r="B2" s="121"/>
      <c r="C2" s="121"/>
      <c r="D2" s="121"/>
      <c r="E2" s="121"/>
      <c r="F2" s="121"/>
      <c r="G2" s="121"/>
      <c r="H2" s="121"/>
    </row>
    <row r="3" spans="1:8" ht="15">
      <c r="A3" s="121" t="s">
        <v>88</v>
      </c>
      <c r="B3" s="121"/>
      <c r="C3" s="121"/>
      <c r="D3" s="121"/>
      <c r="E3" s="121"/>
      <c r="F3" s="121"/>
      <c r="G3" s="121"/>
      <c r="H3" s="121"/>
    </row>
    <row r="4" spans="1:8" ht="15">
      <c r="A4" s="1"/>
      <c r="B4" s="1"/>
      <c r="C4" s="1" t="s">
        <v>89</v>
      </c>
      <c r="D4" s="1"/>
      <c r="E4" s="1"/>
      <c r="F4" s="1"/>
      <c r="G4" s="1"/>
      <c r="H4" s="1"/>
    </row>
    <row r="5" spans="1:8" ht="15">
      <c r="A5" s="121" t="s">
        <v>24</v>
      </c>
      <c r="B5" s="121"/>
      <c r="C5" s="121"/>
      <c r="D5" s="121"/>
      <c r="E5" s="121"/>
      <c r="F5" s="121"/>
      <c r="G5" s="121"/>
      <c r="H5" s="121"/>
    </row>
    <row r="6" spans="1:8" ht="15.75" thickBot="1">
      <c r="A6" s="3"/>
      <c r="B6" s="3"/>
      <c r="C6" s="3"/>
      <c r="D6" s="3"/>
      <c r="E6" s="3"/>
      <c r="F6" s="3"/>
      <c r="G6" s="3"/>
      <c r="H6" s="3">
        <v>9319.2</v>
      </c>
    </row>
    <row r="7" spans="1:8" ht="29.25" customHeight="1" thickBot="1" thickTop="1">
      <c r="A7" s="114" t="s">
        <v>1</v>
      </c>
      <c r="B7" s="116" t="s">
        <v>2</v>
      </c>
      <c r="C7" s="118" t="s">
        <v>3</v>
      </c>
      <c r="D7" s="116" t="s">
        <v>4</v>
      </c>
      <c r="E7" s="122" t="s">
        <v>5</v>
      </c>
      <c r="F7" s="123"/>
      <c r="G7" s="123"/>
      <c r="H7" s="124"/>
    </row>
    <row r="8" spans="1:8" ht="15.75" thickBot="1">
      <c r="A8" s="115"/>
      <c r="B8" s="117"/>
      <c r="C8" s="119"/>
      <c r="D8" s="117"/>
      <c r="E8" s="4" t="s">
        <v>6</v>
      </c>
      <c r="F8" s="4" t="s">
        <v>7</v>
      </c>
      <c r="G8" s="4" t="s">
        <v>8</v>
      </c>
      <c r="H8" s="5" t="s">
        <v>9</v>
      </c>
    </row>
    <row r="9" spans="1:8" ht="16.5" thickBot="1" thickTop="1">
      <c r="A9" s="6">
        <v>1</v>
      </c>
      <c r="B9" s="7">
        <v>2</v>
      </c>
      <c r="C9" s="48">
        <v>3</v>
      </c>
      <c r="D9" s="7">
        <v>4</v>
      </c>
      <c r="E9" s="7">
        <v>5</v>
      </c>
      <c r="F9" s="7">
        <v>6</v>
      </c>
      <c r="G9" s="7">
        <v>7</v>
      </c>
      <c r="H9" s="8">
        <v>8</v>
      </c>
    </row>
    <row r="10" spans="1:8" ht="15.75" thickBot="1">
      <c r="A10" s="6"/>
      <c r="B10" s="23" t="s">
        <v>25</v>
      </c>
      <c r="C10" s="49"/>
      <c r="D10" s="7"/>
      <c r="E10" s="7"/>
      <c r="F10" s="7"/>
      <c r="G10" s="7"/>
      <c r="H10" s="8"/>
    </row>
    <row r="11" spans="1:8" ht="15.75" thickBot="1">
      <c r="A11" s="6" t="s">
        <v>10</v>
      </c>
      <c r="B11" s="9" t="s">
        <v>10</v>
      </c>
      <c r="C11" s="50"/>
      <c r="D11" s="26"/>
      <c r="E11" s="9"/>
      <c r="F11" s="9"/>
      <c r="G11" s="9"/>
      <c r="H11" s="10"/>
    </row>
    <row r="12" spans="1:8" ht="30.75" thickBot="1">
      <c r="A12" s="11">
        <v>1</v>
      </c>
      <c r="B12" s="12" t="s">
        <v>11</v>
      </c>
      <c r="C12" s="51"/>
      <c r="D12" s="26">
        <f>SUM(E12:H12)</f>
        <v>4971420.432000001</v>
      </c>
      <c r="E12" s="26">
        <f>SUM(E14:E23)</f>
        <v>1310093.1360000004</v>
      </c>
      <c r="F12" s="26">
        <f>SUM(F14:F23)</f>
        <v>1310093.1360000004</v>
      </c>
      <c r="G12" s="26">
        <f>SUM(G14:G23)</f>
        <v>1175617.08</v>
      </c>
      <c r="H12" s="26">
        <f>SUM(H14:H23)</f>
        <v>1175617.08</v>
      </c>
    </row>
    <row r="13" spans="1:8" ht="15.75" thickBot="1">
      <c r="A13" s="11"/>
      <c r="B13" s="12" t="s">
        <v>12</v>
      </c>
      <c r="C13" s="51"/>
      <c r="D13" s="9"/>
      <c r="E13" s="26"/>
      <c r="F13" s="26"/>
      <c r="G13" s="26"/>
      <c r="H13" s="27"/>
    </row>
    <row r="14" spans="1:8" ht="15.75" thickBot="1">
      <c r="A14" s="42">
        <v>1.1</v>
      </c>
      <c r="B14" s="9" t="s">
        <v>87</v>
      </c>
      <c r="C14" s="52" t="s">
        <v>86</v>
      </c>
      <c r="D14" s="26">
        <f aca="true" t="shared" si="0" ref="D14:D25">SUM(E14:H14)</f>
        <v>838728</v>
      </c>
      <c r="E14" s="26">
        <f>9*3*9319.2</f>
        <v>251618.40000000002</v>
      </c>
      <c r="F14" s="26">
        <f>9*3*9319.2</f>
        <v>251618.40000000002</v>
      </c>
      <c r="G14" s="26">
        <f>6*3*9319.2</f>
        <v>167745.6</v>
      </c>
      <c r="H14" s="26">
        <f>6*3*9319.2</f>
        <v>167745.6</v>
      </c>
    </row>
    <row r="15" spans="1:8" ht="15.75" thickBot="1">
      <c r="A15" s="42">
        <v>1.2</v>
      </c>
      <c r="B15" s="9" t="s">
        <v>26</v>
      </c>
      <c r="C15" s="52" t="s">
        <v>78</v>
      </c>
      <c r="D15" s="26">
        <f t="shared" si="0"/>
        <v>1544377.824</v>
      </c>
      <c r="E15" s="26">
        <f>14.6*3*9319.2</f>
        <v>408180.96</v>
      </c>
      <c r="F15" s="26">
        <f>14.6*3*9319.2</f>
        <v>408180.96</v>
      </c>
      <c r="G15" s="26">
        <f>13.02*3*9319.2</f>
        <v>364007.95200000005</v>
      </c>
      <c r="H15" s="26">
        <f>13.02*3*9319.2</f>
        <v>364007.95200000005</v>
      </c>
    </row>
    <row r="16" spans="1:8" ht="15.75" thickBot="1">
      <c r="A16" s="42">
        <v>1.3</v>
      </c>
      <c r="B16" s="9" t="s">
        <v>27</v>
      </c>
      <c r="C16" s="52" t="s">
        <v>79</v>
      </c>
      <c r="D16" s="26">
        <f t="shared" si="0"/>
        <v>188993.37600000002</v>
      </c>
      <c r="E16" s="26">
        <f>1.36*3*9319.2</f>
        <v>38022.336</v>
      </c>
      <c r="F16" s="26">
        <f>1.36*3*9319.2</f>
        <v>38022.336</v>
      </c>
      <c r="G16" s="26">
        <f>2.02*3*9319.2</f>
        <v>56474.352000000006</v>
      </c>
      <c r="H16" s="26">
        <f>2.02*3*9319.2</f>
        <v>56474.352000000006</v>
      </c>
    </row>
    <row r="17" spans="1:8" ht="15.75" thickBot="1">
      <c r="A17" s="42">
        <v>1.4</v>
      </c>
      <c r="B17" s="9" t="s">
        <v>28</v>
      </c>
      <c r="C17" s="52" t="s">
        <v>80</v>
      </c>
      <c r="D17" s="26">
        <f t="shared" si="0"/>
        <v>347792.5440000001</v>
      </c>
      <c r="E17" s="26">
        <f>3.18*3*9319.2</f>
        <v>88905.16800000002</v>
      </c>
      <c r="F17" s="26">
        <f>3.18*3*9319.2</f>
        <v>88905.16800000002</v>
      </c>
      <c r="G17" s="26">
        <f>3.04*3*9319.2</f>
        <v>84991.10400000002</v>
      </c>
      <c r="H17" s="26">
        <f>3.04*3*9319.2</f>
        <v>84991.10400000002</v>
      </c>
    </row>
    <row r="18" spans="1:8" ht="15.75" thickBot="1">
      <c r="A18" s="42">
        <v>1.5</v>
      </c>
      <c r="B18" s="9" t="s">
        <v>29</v>
      </c>
      <c r="C18" s="52" t="s">
        <v>81</v>
      </c>
      <c r="D18" s="26">
        <f t="shared" si="0"/>
        <v>43054.704000000005</v>
      </c>
      <c r="E18" s="26">
        <f>0.43*3*9319.2</f>
        <v>12021.768000000002</v>
      </c>
      <c r="F18" s="26">
        <f>0.43*3*9319.2</f>
        <v>12021.768000000002</v>
      </c>
      <c r="G18" s="26">
        <f>0.34*3*9319.2</f>
        <v>9505.584</v>
      </c>
      <c r="H18" s="26">
        <f>0.34*3*9319.2</f>
        <v>9505.584</v>
      </c>
    </row>
    <row r="19" spans="1:8" ht="15.75" thickBot="1">
      <c r="A19" s="42">
        <v>1.6</v>
      </c>
      <c r="B19" s="9" t="s">
        <v>30</v>
      </c>
      <c r="C19" s="52" t="s">
        <v>82</v>
      </c>
      <c r="D19" s="26">
        <f t="shared" si="0"/>
        <v>47527.920000000006</v>
      </c>
      <c r="E19" s="26">
        <f>0.45*3*9319.2</f>
        <v>12580.920000000002</v>
      </c>
      <c r="F19" s="26">
        <f>0.45*3*9319.2</f>
        <v>12580.920000000002</v>
      </c>
      <c r="G19" s="26">
        <f>0.4*3*9319.2</f>
        <v>11183.040000000003</v>
      </c>
      <c r="H19" s="26">
        <f>0.4*3*9319.2</f>
        <v>11183.040000000003</v>
      </c>
    </row>
    <row r="20" spans="1:8" ht="15.75" thickBot="1">
      <c r="A20" s="42">
        <v>1.7</v>
      </c>
      <c r="B20" s="9" t="s">
        <v>31</v>
      </c>
      <c r="C20" s="52" t="s">
        <v>83</v>
      </c>
      <c r="D20" s="26">
        <f t="shared" si="0"/>
        <v>197380.65600000002</v>
      </c>
      <c r="E20" s="26">
        <f>1.86*3*9319.2</f>
        <v>52001.136000000006</v>
      </c>
      <c r="F20" s="26">
        <f>1.86*3*9319.2</f>
        <v>52001.136000000006</v>
      </c>
      <c r="G20" s="26">
        <f>1.67*3*9319.2</f>
        <v>46689.192</v>
      </c>
      <c r="H20" s="26">
        <f>1.67*3*9319.2</f>
        <v>46689.192</v>
      </c>
    </row>
    <row r="21" spans="1:8" ht="15.75" thickBot="1">
      <c r="A21" s="42">
        <v>1.8</v>
      </c>
      <c r="B21" s="9" t="s">
        <v>13</v>
      </c>
      <c r="C21" s="52" t="s">
        <v>84</v>
      </c>
      <c r="D21" s="26">
        <f t="shared" si="0"/>
        <v>734166.576</v>
      </c>
      <c r="E21" s="26">
        <f>6.8*3*9319.2</f>
        <v>190111.68</v>
      </c>
      <c r="F21" s="26">
        <f>6.8*3*9319.2</f>
        <v>190111.68</v>
      </c>
      <c r="G21" s="26">
        <f>6.33*3*9319.2</f>
        <v>176971.60800000004</v>
      </c>
      <c r="H21" s="26">
        <f>6.33*3*9319.2</f>
        <v>176971.60800000004</v>
      </c>
    </row>
    <row r="22" spans="1:8" ht="15.75" thickBot="1">
      <c r="A22" s="42">
        <v>1.9</v>
      </c>
      <c r="B22" s="9" t="s">
        <v>14</v>
      </c>
      <c r="C22" s="52">
        <v>8.56</v>
      </c>
      <c r="D22" s="26">
        <f t="shared" si="0"/>
        <v>957268.224</v>
      </c>
      <c r="E22" s="26">
        <f>8.56*3*9319.2</f>
        <v>239317.056</v>
      </c>
      <c r="F22" s="26">
        <f>8.56*3*9319.2</f>
        <v>239317.056</v>
      </c>
      <c r="G22" s="26">
        <f>8.56*3*9319.2</f>
        <v>239317.056</v>
      </c>
      <c r="H22" s="26">
        <f>8.56*3*9319.2</f>
        <v>239317.056</v>
      </c>
    </row>
    <row r="23" spans="1:8" ht="15.75" thickBot="1">
      <c r="A23" s="42" t="s">
        <v>33</v>
      </c>
      <c r="B23" s="9" t="s">
        <v>32</v>
      </c>
      <c r="C23" s="52" t="s">
        <v>85</v>
      </c>
      <c r="D23" s="26">
        <f>SUM(E23:H23)</f>
        <v>72130.60800000001</v>
      </c>
      <c r="E23" s="26">
        <f>0.62*3*9319.2</f>
        <v>17333.712</v>
      </c>
      <c r="F23" s="26">
        <f>0.62*3*9319.2</f>
        <v>17333.712</v>
      </c>
      <c r="G23" s="26">
        <f>0.67*3*9319.2</f>
        <v>18731.592000000004</v>
      </c>
      <c r="H23" s="26">
        <f>0.67*3*9319.2</f>
        <v>18731.592000000004</v>
      </c>
    </row>
    <row r="24" spans="1:8" ht="15.75" thickBot="1">
      <c r="A24" s="11">
        <v>2</v>
      </c>
      <c r="B24" s="9" t="s">
        <v>34</v>
      </c>
      <c r="C24" s="50"/>
      <c r="D24" s="26">
        <f>SUM(E24:H24)</f>
        <v>2232</v>
      </c>
      <c r="E24" s="26">
        <v>558</v>
      </c>
      <c r="F24" s="26">
        <v>558</v>
      </c>
      <c r="G24" s="26">
        <v>558</v>
      </c>
      <c r="H24" s="27">
        <v>558</v>
      </c>
    </row>
    <row r="25" spans="1:8" ht="15.75" thickBot="1">
      <c r="A25" s="11">
        <v>3</v>
      </c>
      <c r="B25" s="9" t="s">
        <v>64</v>
      </c>
      <c r="C25" s="50"/>
      <c r="D25" s="26">
        <f t="shared" si="0"/>
        <v>619200</v>
      </c>
      <c r="E25" s="26">
        <v>154800</v>
      </c>
      <c r="F25" s="26">
        <v>154800</v>
      </c>
      <c r="G25" s="26">
        <v>154800</v>
      </c>
      <c r="H25" s="41">
        <v>154800</v>
      </c>
    </row>
    <row r="26" spans="1:8" ht="15.75" thickBot="1">
      <c r="A26" s="39">
        <v>4</v>
      </c>
      <c r="B26" s="40" t="s">
        <v>65</v>
      </c>
      <c r="C26" s="59"/>
      <c r="D26" s="38">
        <f>+D12+D24+D25</f>
        <v>5592852.432000001</v>
      </c>
      <c r="E26" s="38">
        <f>+E12+E24+E25</f>
        <v>1465451.1360000004</v>
      </c>
      <c r="F26" s="38">
        <f>+F12+F24+F25</f>
        <v>1465451.1360000004</v>
      </c>
      <c r="G26" s="38">
        <f>+G12+G24+G25</f>
        <v>1330975.08</v>
      </c>
      <c r="H26" s="38">
        <f>+H12+H24+H25</f>
        <v>1330975.08</v>
      </c>
    </row>
    <row r="27" spans="1:8" ht="15.75" thickBot="1">
      <c r="A27" s="6"/>
      <c r="B27" s="12" t="s">
        <v>10</v>
      </c>
      <c r="C27" s="51"/>
      <c r="D27" s="9"/>
      <c r="E27" s="26"/>
      <c r="F27" s="26"/>
      <c r="G27" s="26"/>
      <c r="H27" s="27"/>
    </row>
    <row r="28" spans="1:8" ht="15.75" thickBot="1">
      <c r="A28" s="6"/>
      <c r="B28" s="23" t="s">
        <v>35</v>
      </c>
      <c r="C28" s="49"/>
      <c r="D28" s="9"/>
      <c r="E28" s="26"/>
      <c r="F28" s="26"/>
      <c r="G28" s="26"/>
      <c r="H28" s="27"/>
    </row>
    <row r="29" spans="1:8" ht="15.75" thickBot="1">
      <c r="A29" s="30">
        <v>5</v>
      </c>
      <c r="B29" s="31" t="s">
        <v>15</v>
      </c>
      <c r="C29" s="60"/>
      <c r="D29" s="32">
        <f aca="true" t="shared" si="1" ref="D29:D63">SUM(E29:H29)</f>
        <v>1044520.1600000001</v>
      </c>
      <c r="E29" s="32">
        <f>SUM(E30:E35)</f>
        <v>248434.04</v>
      </c>
      <c r="F29" s="32">
        <f>SUM(F30:F35)</f>
        <v>243634.04</v>
      </c>
      <c r="G29" s="32">
        <f>SUM(G30:G35)</f>
        <v>308776.04000000004</v>
      </c>
      <c r="H29" s="32">
        <f>SUM(H30:H35)</f>
        <v>243676.04</v>
      </c>
    </row>
    <row r="30" spans="1:8" ht="15.75" thickBot="1">
      <c r="A30" s="6">
        <v>5.1</v>
      </c>
      <c r="B30" s="9" t="s">
        <v>16</v>
      </c>
      <c r="C30" s="50"/>
      <c r="D30" s="26">
        <f t="shared" si="1"/>
        <v>774080</v>
      </c>
      <c r="E30" s="26">
        <v>181020</v>
      </c>
      <c r="F30" s="26">
        <v>181020</v>
      </c>
      <c r="G30" s="26">
        <f>181020+50000</f>
        <v>231020</v>
      </c>
      <c r="H30" s="26">
        <v>181020</v>
      </c>
    </row>
    <row r="31" spans="1:8" ht="15.75" thickBot="1">
      <c r="A31" s="11">
        <v>5.2</v>
      </c>
      <c r="B31" s="12" t="s">
        <v>39</v>
      </c>
      <c r="C31" s="51"/>
      <c r="D31" s="26">
        <f t="shared" si="1"/>
        <v>226524.16</v>
      </c>
      <c r="E31" s="26">
        <v>52856.04</v>
      </c>
      <c r="F31" s="26">
        <v>52856.04</v>
      </c>
      <c r="G31" s="26">
        <f>52856.04+15100</f>
        <v>67956.04000000001</v>
      </c>
      <c r="H31" s="26">
        <v>52856.04</v>
      </c>
    </row>
    <row r="32" spans="1:8" ht="15.75" thickBot="1">
      <c r="A32" s="6">
        <v>5.3</v>
      </c>
      <c r="B32" s="9" t="s">
        <v>36</v>
      </c>
      <c r="C32" s="50"/>
      <c r="D32" s="26">
        <f t="shared" si="1"/>
        <v>4800</v>
      </c>
      <c r="E32" s="26">
        <v>4800</v>
      </c>
      <c r="F32" s="26"/>
      <c r="G32" s="26"/>
      <c r="H32" s="27"/>
    </row>
    <row r="33" spans="1:8" ht="15.75" thickBot="1">
      <c r="A33" s="6">
        <v>5.4</v>
      </c>
      <c r="B33" s="9" t="s">
        <v>17</v>
      </c>
      <c r="C33" s="50"/>
      <c r="D33" s="26">
        <f t="shared" si="1"/>
        <v>0</v>
      </c>
      <c r="E33" s="26"/>
      <c r="F33" s="26"/>
      <c r="G33" s="26"/>
      <c r="H33" s="27"/>
    </row>
    <row r="34" spans="1:9" ht="15.75" thickBot="1">
      <c r="A34" s="6">
        <v>5.5</v>
      </c>
      <c r="B34" s="9" t="s">
        <v>37</v>
      </c>
      <c r="C34" s="50"/>
      <c r="D34" s="26">
        <f t="shared" si="1"/>
        <v>38316</v>
      </c>
      <c r="E34" s="26">
        <f>3186*3</f>
        <v>9558</v>
      </c>
      <c r="F34" s="26">
        <f>3186*3</f>
        <v>9558</v>
      </c>
      <c r="G34" s="62">
        <v>9600</v>
      </c>
      <c r="H34" s="63">
        <v>9600</v>
      </c>
      <c r="I34" t="s">
        <v>38</v>
      </c>
    </row>
    <row r="35" spans="1:8" ht="15.75" thickBot="1">
      <c r="A35" s="6">
        <v>5.6</v>
      </c>
      <c r="B35" s="9" t="s">
        <v>66</v>
      </c>
      <c r="C35" s="50"/>
      <c r="D35" s="26">
        <f t="shared" si="1"/>
        <v>800</v>
      </c>
      <c r="E35" s="26">
        <v>200</v>
      </c>
      <c r="F35" s="26">
        <v>200</v>
      </c>
      <c r="G35" s="26">
        <v>200</v>
      </c>
      <c r="H35" s="27">
        <v>200</v>
      </c>
    </row>
    <row r="36" spans="1:8" ht="15.75" thickBot="1">
      <c r="A36" s="30">
        <v>6</v>
      </c>
      <c r="B36" s="31" t="s">
        <v>50</v>
      </c>
      <c r="C36" s="60"/>
      <c r="D36" s="32">
        <f t="shared" si="1"/>
        <v>1598697.84048</v>
      </c>
      <c r="E36" s="32">
        <f>SUM(E37:E40)</f>
        <v>388131.78242</v>
      </c>
      <c r="F36" s="32">
        <f>SUM(F37:F40)</f>
        <v>377904.25994</v>
      </c>
      <c r="G36" s="32">
        <f>SUM(G37:G40)</f>
        <v>456826.95</v>
      </c>
      <c r="H36" s="32">
        <f>SUM(H37:H40)</f>
        <v>375834.84812000004</v>
      </c>
    </row>
    <row r="37" spans="1:8" ht="15.75" thickBot="1">
      <c r="A37" s="6">
        <v>6.1</v>
      </c>
      <c r="B37" s="9" t="s">
        <v>16</v>
      </c>
      <c r="C37" s="50"/>
      <c r="D37" s="26">
        <f t="shared" si="1"/>
        <v>878264.24</v>
      </c>
      <c r="E37" s="26">
        <v>210604.71</v>
      </c>
      <c r="F37" s="26">
        <v>202749.47</v>
      </c>
      <c r="G37" s="26">
        <v>263750</v>
      </c>
      <c r="H37" s="27">
        <v>201160.06</v>
      </c>
    </row>
    <row r="38" spans="1:8" ht="15.75" thickBot="1">
      <c r="A38" s="11">
        <v>6.2</v>
      </c>
      <c r="B38" s="12" t="s">
        <v>39</v>
      </c>
      <c r="C38" s="51"/>
      <c r="D38" s="26">
        <f t="shared" si="1"/>
        <v>265235.80048</v>
      </c>
      <c r="E38" s="26">
        <f>+E37*30.2%</f>
        <v>63602.62241999999</v>
      </c>
      <c r="F38" s="26">
        <f>+F37*30.2%</f>
        <v>61230.33994</v>
      </c>
      <c r="G38" s="26">
        <f>+G37*30.2%</f>
        <v>79652.5</v>
      </c>
      <c r="H38" s="26">
        <f>+H37*30.2%</f>
        <v>60750.33812</v>
      </c>
    </row>
    <row r="39" spans="1:8" ht="15.75" thickBot="1">
      <c r="A39" s="6">
        <v>6.3</v>
      </c>
      <c r="B39" s="9" t="s">
        <v>40</v>
      </c>
      <c r="C39" s="50"/>
      <c r="D39" s="26">
        <f t="shared" si="1"/>
        <v>5500</v>
      </c>
      <c r="E39" s="26">
        <v>1500</v>
      </c>
      <c r="F39" s="26">
        <v>1500</v>
      </c>
      <c r="G39" s="26">
        <v>1000</v>
      </c>
      <c r="H39" s="27">
        <v>1500</v>
      </c>
    </row>
    <row r="40" spans="1:8" ht="15.75" thickBot="1">
      <c r="A40" s="6">
        <v>6.4</v>
      </c>
      <c r="B40" s="9" t="s">
        <v>18</v>
      </c>
      <c r="C40" s="50"/>
      <c r="D40" s="26">
        <f t="shared" si="1"/>
        <v>449697.8</v>
      </c>
      <c r="E40" s="26">
        <f>SUM(E41:E46)</f>
        <v>112424.45</v>
      </c>
      <c r="F40" s="26">
        <f>SUM(F41:F46)</f>
        <v>112424.45</v>
      </c>
      <c r="G40" s="26">
        <f>SUM(G41:G46)</f>
        <v>112424.45</v>
      </c>
      <c r="H40" s="26">
        <f>SUM(H41:H46)</f>
        <v>112424.45</v>
      </c>
    </row>
    <row r="41" spans="1:8" ht="15.75" thickBot="1">
      <c r="A41" s="6"/>
      <c r="B41" s="9" t="s">
        <v>19</v>
      </c>
      <c r="C41" s="50"/>
      <c r="D41" s="26"/>
      <c r="E41" s="26"/>
      <c r="F41" s="26"/>
      <c r="G41" s="26"/>
      <c r="H41" s="27"/>
    </row>
    <row r="42" spans="1:8" ht="15.75" thickBot="1">
      <c r="A42" s="35" t="s">
        <v>70</v>
      </c>
      <c r="B42" s="9" t="s">
        <v>20</v>
      </c>
      <c r="C42" s="50"/>
      <c r="D42" s="62">
        <f t="shared" si="1"/>
        <v>19213.800000000003</v>
      </c>
      <c r="E42" s="26">
        <f>1601.15*3</f>
        <v>4803.450000000001</v>
      </c>
      <c r="F42" s="26">
        <f>1601.15*3</f>
        <v>4803.450000000001</v>
      </c>
      <c r="G42" s="62">
        <f>1601.15*3</f>
        <v>4803.450000000001</v>
      </c>
      <c r="H42" s="62">
        <f>1601.15*3</f>
        <v>4803.450000000001</v>
      </c>
    </row>
    <row r="43" spans="1:9" ht="15.75" thickBot="1">
      <c r="A43" s="35" t="s">
        <v>71</v>
      </c>
      <c r="B43" s="9" t="s">
        <v>41</v>
      </c>
      <c r="C43" s="50"/>
      <c r="D43" s="62">
        <f t="shared" si="1"/>
        <v>12900</v>
      </c>
      <c r="E43" s="26">
        <f>1075*3</f>
        <v>3225</v>
      </c>
      <c r="F43" s="26">
        <f>1075*3</f>
        <v>3225</v>
      </c>
      <c r="G43" s="62">
        <f>1075*3</f>
        <v>3225</v>
      </c>
      <c r="H43" s="62">
        <f>1075*3</f>
        <v>3225</v>
      </c>
      <c r="I43" t="s">
        <v>44</v>
      </c>
    </row>
    <row r="44" spans="1:9" ht="15.75" thickBot="1">
      <c r="A44" s="35" t="s">
        <v>72</v>
      </c>
      <c r="B44" s="9" t="s">
        <v>42</v>
      </c>
      <c r="C44" s="50"/>
      <c r="D44" s="62">
        <f t="shared" si="1"/>
        <v>26784</v>
      </c>
      <c r="E44" s="26">
        <f>2232*3</f>
        <v>6696</v>
      </c>
      <c r="F44" s="26">
        <f>2232*3</f>
        <v>6696</v>
      </c>
      <c r="G44" s="62">
        <f>2232*3</f>
        <v>6696</v>
      </c>
      <c r="H44" s="62">
        <f>2232*3</f>
        <v>6696</v>
      </c>
      <c r="I44" t="s">
        <v>43</v>
      </c>
    </row>
    <row r="45" spans="1:9" ht="15.75" thickBot="1">
      <c r="A45" s="35" t="s">
        <v>73</v>
      </c>
      <c r="B45" s="9" t="s">
        <v>45</v>
      </c>
      <c r="C45" s="50"/>
      <c r="D45" s="62">
        <f t="shared" si="1"/>
        <v>350000</v>
      </c>
      <c r="E45" s="26">
        <v>87500</v>
      </c>
      <c r="F45" s="26">
        <v>87500</v>
      </c>
      <c r="G45" s="62">
        <v>87500</v>
      </c>
      <c r="H45" s="62">
        <v>87500</v>
      </c>
      <c r="I45" t="s">
        <v>46</v>
      </c>
    </row>
    <row r="46" spans="1:9" ht="15.75" thickBot="1">
      <c r="A46" s="35" t="s">
        <v>74</v>
      </c>
      <c r="B46" s="9" t="s">
        <v>48</v>
      </c>
      <c r="C46" s="50"/>
      <c r="D46" s="62">
        <f t="shared" si="1"/>
        <v>40800</v>
      </c>
      <c r="E46" s="26">
        <f>5100*2</f>
        <v>10200</v>
      </c>
      <c r="F46" s="26">
        <f>5100*2</f>
        <v>10200</v>
      </c>
      <c r="G46" s="62">
        <f>5100*2</f>
        <v>10200</v>
      </c>
      <c r="H46" s="62">
        <f>5100*2</f>
        <v>10200</v>
      </c>
      <c r="I46" t="s">
        <v>47</v>
      </c>
    </row>
    <row r="47" spans="1:8" ht="15.75" thickBot="1">
      <c r="A47" s="33">
        <v>7</v>
      </c>
      <c r="B47" s="31" t="s">
        <v>49</v>
      </c>
      <c r="C47" s="60"/>
      <c r="D47" s="32">
        <f t="shared" si="1"/>
        <v>153014.028</v>
      </c>
      <c r="E47" s="32">
        <f>SUM(E48:E50)</f>
        <v>37216.464</v>
      </c>
      <c r="F47" s="32">
        <f>SUM(F48:F50)</f>
        <v>37216.464</v>
      </c>
      <c r="G47" s="32">
        <f>SUM(G48:G50)</f>
        <v>39290.55</v>
      </c>
      <c r="H47" s="32">
        <f>SUM(H48:H50)</f>
        <v>39290.55</v>
      </c>
    </row>
    <row r="48" spans="1:8" ht="15.75" thickBot="1">
      <c r="A48" s="6">
        <v>7.1</v>
      </c>
      <c r="B48" s="9" t="s">
        <v>16</v>
      </c>
      <c r="C48" s="50"/>
      <c r="D48" s="26">
        <f t="shared" si="1"/>
        <v>112914</v>
      </c>
      <c r="E48" s="26">
        <v>27432</v>
      </c>
      <c r="F48" s="26">
        <v>27432</v>
      </c>
      <c r="G48" s="26">
        <v>29025</v>
      </c>
      <c r="H48" s="27">
        <v>29025</v>
      </c>
    </row>
    <row r="49" spans="1:8" ht="15.75" thickBot="1">
      <c r="A49" s="6">
        <v>7.2</v>
      </c>
      <c r="B49" s="12" t="s">
        <v>39</v>
      </c>
      <c r="C49" s="50"/>
      <c r="D49" s="26">
        <f t="shared" si="1"/>
        <v>34100.028</v>
      </c>
      <c r="E49" s="26">
        <f>+E48*30.2%</f>
        <v>8284.464</v>
      </c>
      <c r="F49" s="26">
        <f>+F48*30.2%</f>
        <v>8284.464</v>
      </c>
      <c r="G49" s="26">
        <f>+G48*30.2%</f>
        <v>8765.55</v>
      </c>
      <c r="H49" s="26">
        <f>+H48*30.2%</f>
        <v>8765.55</v>
      </c>
    </row>
    <row r="50" spans="1:8" ht="15.75" thickBot="1">
      <c r="A50" s="6">
        <v>7.3</v>
      </c>
      <c r="B50" s="9" t="s">
        <v>40</v>
      </c>
      <c r="C50" s="50"/>
      <c r="D50" s="26">
        <f t="shared" si="1"/>
        <v>6000</v>
      </c>
      <c r="E50" s="26">
        <v>1500</v>
      </c>
      <c r="F50" s="26">
        <v>1500</v>
      </c>
      <c r="G50" s="26">
        <v>1500</v>
      </c>
      <c r="H50" s="27">
        <v>1500</v>
      </c>
    </row>
    <row r="51" spans="1:8" ht="15.75" thickBot="1">
      <c r="A51" s="33">
        <v>8</v>
      </c>
      <c r="B51" s="31" t="s">
        <v>51</v>
      </c>
      <c r="C51" s="60"/>
      <c r="D51" s="32">
        <f t="shared" si="1"/>
        <v>360768</v>
      </c>
      <c r="E51" s="32">
        <f>SUM(E52:E54)</f>
        <v>89534</v>
      </c>
      <c r="F51" s="32">
        <f>SUM(F52:F54)</f>
        <v>102034</v>
      </c>
      <c r="G51" s="32">
        <f>SUM(G52:G54)</f>
        <v>84600</v>
      </c>
      <c r="H51" s="32">
        <f>SUM(H52:H54)</f>
        <v>84600</v>
      </c>
    </row>
    <row r="52" spans="1:9" ht="15.75" thickBot="1">
      <c r="A52" s="6">
        <v>8.1</v>
      </c>
      <c r="B52" s="9" t="s">
        <v>52</v>
      </c>
      <c r="C52" s="50"/>
      <c r="D52" s="26">
        <f t="shared" si="1"/>
        <v>338268</v>
      </c>
      <c r="E52" s="26">
        <f>28178*3</f>
        <v>84534</v>
      </c>
      <c r="F52" s="26">
        <f>28178*3</f>
        <v>84534</v>
      </c>
      <c r="G52" s="62">
        <f>28200*3</f>
        <v>84600</v>
      </c>
      <c r="H52" s="62">
        <f>28200*3</f>
        <v>84600</v>
      </c>
      <c r="I52" t="s">
        <v>43</v>
      </c>
    </row>
    <row r="53" spans="1:8" ht="15.75" thickBot="1">
      <c r="A53" s="6">
        <v>8.2</v>
      </c>
      <c r="B53" s="9" t="s">
        <v>53</v>
      </c>
      <c r="C53" s="50"/>
      <c r="D53" s="26">
        <f t="shared" si="1"/>
        <v>5000</v>
      </c>
      <c r="E53" s="26">
        <v>5000</v>
      </c>
      <c r="F53" s="26"/>
      <c r="G53" s="62"/>
      <c r="H53" s="63"/>
    </row>
    <row r="54" spans="1:8" ht="15.75" thickBot="1">
      <c r="A54" s="6">
        <v>8.3</v>
      </c>
      <c r="B54" s="9" t="s">
        <v>54</v>
      </c>
      <c r="C54" s="50"/>
      <c r="D54" s="26">
        <f t="shared" si="1"/>
        <v>17500</v>
      </c>
      <c r="E54" s="26"/>
      <c r="F54" s="26">
        <v>17500</v>
      </c>
      <c r="G54" s="26"/>
      <c r="H54" s="27"/>
    </row>
    <row r="55" spans="1:9" ht="15.75" thickBot="1">
      <c r="A55" s="33">
        <v>9</v>
      </c>
      <c r="B55" s="31" t="s">
        <v>55</v>
      </c>
      <c r="C55" s="60"/>
      <c r="D55" s="32">
        <f t="shared" si="1"/>
        <v>48176</v>
      </c>
      <c r="E55" s="32">
        <v>12044</v>
      </c>
      <c r="F55" s="32">
        <v>12044</v>
      </c>
      <c r="G55" s="32">
        <v>12044</v>
      </c>
      <c r="H55" s="32">
        <v>12044</v>
      </c>
      <c r="I55" t="s">
        <v>57</v>
      </c>
    </row>
    <row r="56" spans="1:9" ht="15.75" thickBot="1">
      <c r="A56" s="33">
        <v>10</v>
      </c>
      <c r="B56" s="31" t="s">
        <v>56</v>
      </c>
      <c r="C56" s="60"/>
      <c r="D56" s="32">
        <f t="shared" si="1"/>
        <v>49200</v>
      </c>
      <c r="E56" s="32">
        <f>4100*3</f>
        <v>12300</v>
      </c>
      <c r="F56" s="32">
        <f>4100*3</f>
        <v>12300</v>
      </c>
      <c r="G56" s="32">
        <f>4100*3</f>
        <v>12300</v>
      </c>
      <c r="H56" s="32">
        <f>4100*3</f>
        <v>12300</v>
      </c>
      <c r="I56" t="s">
        <v>44</v>
      </c>
    </row>
    <row r="57" spans="1:8" ht="15.75" thickBot="1">
      <c r="A57" s="33">
        <v>11</v>
      </c>
      <c r="B57" s="31" t="s">
        <v>58</v>
      </c>
      <c r="C57" s="60"/>
      <c r="D57" s="32">
        <f t="shared" si="1"/>
        <v>258619.80199999997</v>
      </c>
      <c r="E57" s="32">
        <f>SUM(E58:E60)</f>
        <v>55892.256</v>
      </c>
      <c r="F57" s="32">
        <f>SUM(F58:F60)</f>
        <v>88418.456</v>
      </c>
      <c r="G57" s="32">
        <f>SUM(G58:G60)</f>
        <v>68872.545</v>
      </c>
      <c r="H57" s="32">
        <f>SUM(H58:H60)</f>
        <v>45436.545</v>
      </c>
    </row>
    <row r="58" spans="1:8" ht="15.75" thickBot="1">
      <c r="A58" s="6">
        <v>11.1</v>
      </c>
      <c r="B58" s="9" t="s">
        <v>16</v>
      </c>
      <c r="C58" s="50"/>
      <c r="D58" s="26">
        <f t="shared" si="1"/>
        <v>171751</v>
      </c>
      <c r="E58" s="26">
        <f>33528+9400</f>
        <v>42928</v>
      </c>
      <c r="F58" s="26">
        <f>33528+7500</f>
        <v>41028</v>
      </c>
      <c r="G58" s="26">
        <f>34897.5+18000</f>
        <v>52897.5</v>
      </c>
      <c r="H58" s="27">
        <v>34897.5</v>
      </c>
    </row>
    <row r="59" spans="1:8" ht="15.75" thickBot="1">
      <c r="A59" s="6">
        <v>11.2</v>
      </c>
      <c r="B59" s="12" t="s">
        <v>39</v>
      </c>
      <c r="C59" s="62"/>
      <c r="D59" s="26">
        <f t="shared" si="1"/>
        <v>51868.801999999996</v>
      </c>
      <c r="E59" s="26">
        <f>+E58*30.2%</f>
        <v>12964.256</v>
      </c>
      <c r="F59" s="26">
        <f>+F58*30.2%</f>
        <v>12390.456</v>
      </c>
      <c r="G59" s="26">
        <f>+G58*30.2%</f>
        <v>15975.045</v>
      </c>
      <c r="H59" s="26">
        <f>+H58*30.2%</f>
        <v>10539.045</v>
      </c>
    </row>
    <row r="60" spans="1:8" ht="15.75" thickBot="1">
      <c r="A60" s="6">
        <v>11.3</v>
      </c>
      <c r="B60" s="9" t="s">
        <v>59</v>
      </c>
      <c r="C60" s="50"/>
      <c r="D60" s="26">
        <f t="shared" si="1"/>
        <v>35000</v>
      </c>
      <c r="E60" s="26"/>
      <c r="F60" s="26">
        <v>35000</v>
      </c>
      <c r="G60" s="26"/>
      <c r="H60" s="27"/>
    </row>
    <row r="61" spans="1:8" ht="15.75" thickBot="1">
      <c r="A61" s="30">
        <v>12</v>
      </c>
      <c r="B61" s="31" t="s">
        <v>60</v>
      </c>
      <c r="C61" s="60"/>
      <c r="D61" s="32">
        <f t="shared" si="1"/>
        <v>734167</v>
      </c>
      <c r="E61" s="32">
        <f>+E62</f>
        <v>50000</v>
      </c>
      <c r="F61" s="32">
        <f>+F62</f>
        <v>300000</v>
      </c>
      <c r="G61" s="32">
        <f>+G62</f>
        <v>350000</v>
      </c>
      <c r="H61" s="34">
        <f>+H62</f>
        <v>34167</v>
      </c>
    </row>
    <row r="62" spans="1:10" ht="15.75" thickBot="1">
      <c r="A62" s="6">
        <v>12.1</v>
      </c>
      <c r="B62" s="9" t="s">
        <v>61</v>
      </c>
      <c r="C62" s="50"/>
      <c r="D62" s="26">
        <f t="shared" si="1"/>
        <v>734167</v>
      </c>
      <c r="E62" s="26">
        <v>50000</v>
      </c>
      <c r="F62" s="26">
        <v>300000</v>
      </c>
      <c r="G62" s="26">
        <v>350000</v>
      </c>
      <c r="H62" s="27">
        <v>34167</v>
      </c>
      <c r="I62" s="46"/>
      <c r="J62" s="47"/>
    </row>
    <row r="63" spans="1:9" ht="15.75" thickBot="1">
      <c r="A63" s="30">
        <v>13</v>
      </c>
      <c r="B63" s="31" t="s">
        <v>62</v>
      </c>
      <c r="C63" s="60"/>
      <c r="D63" s="32">
        <f t="shared" si="1"/>
        <v>69600</v>
      </c>
      <c r="E63" s="32">
        <f>5800*3</f>
        <v>17400</v>
      </c>
      <c r="F63" s="32">
        <f>5800*3</f>
        <v>17400</v>
      </c>
      <c r="G63" s="32">
        <f>5800*3</f>
        <v>17400</v>
      </c>
      <c r="H63" s="32">
        <f>5800*3</f>
        <v>17400</v>
      </c>
      <c r="I63" t="s">
        <v>63</v>
      </c>
    </row>
    <row r="64" spans="1:8" ht="15.75" thickBot="1">
      <c r="A64" s="36">
        <v>14</v>
      </c>
      <c r="B64" s="37" t="s">
        <v>67</v>
      </c>
      <c r="C64" s="58"/>
      <c r="D64" s="38">
        <f>+D63+D61+D57+D56+D55+D51+D47+D36+D29</f>
        <v>4316762.83048</v>
      </c>
      <c r="E64" s="38">
        <f>+E63+E61+E57+E56+E55+E51+E47+E36+E29</f>
        <v>910952.5424200001</v>
      </c>
      <c r="F64" s="38">
        <f>+F63+F61+F57+F56+F55+F51+F47+F36+F29</f>
        <v>1190951.21994</v>
      </c>
      <c r="G64" s="38">
        <f>+G63+G61+G57+G56+G55+G51+G47+G36+G29</f>
        <v>1350110.085</v>
      </c>
      <c r="H64" s="38">
        <f>+H63+H61+H57+H56+H55+H51+H47+H36+H29</f>
        <v>864748.98312</v>
      </c>
    </row>
    <row r="65" spans="1:9" ht="15.75" thickBot="1">
      <c r="A65" s="6">
        <v>15</v>
      </c>
      <c r="B65" s="9" t="s">
        <v>21</v>
      </c>
      <c r="C65" s="50"/>
      <c r="D65" s="26">
        <f>SUM(E65:H65)</f>
        <v>124200</v>
      </c>
      <c r="E65" s="26">
        <f>350*3+30000</f>
        <v>31050</v>
      </c>
      <c r="F65" s="26">
        <f>350*3+30000</f>
        <v>31050</v>
      </c>
      <c r="G65" s="26">
        <f>350*3+30000</f>
        <v>31050</v>
      </c>
      <c r="H65" s="26">
        <f>350*3+30000</f>
        <v>31050</v>
      </c>
      <c r="I65" t="s">
        <v>75</v>
      </c>
    </row>
    <row r="66" spans="1:8" ht="15.75" thickBot="1">
      <c r="A66" s="13">
        <v>16</v>
      </c>
      <c r="B66" s="14" t="s">
        <v>119</v>
      </c>
      <c r="C66" s="53"/>
      <c r="D66" s="26">
        <f>SUM(E66:H66)</f>
        <v>4440962.83048</v>
      </c>
      <c r="E66" s="26">
        <f>+E65+E64</f>
        <v>942002.5424200001</v>
      </c>
      <c r="F66" s="26">
        <f>+F65+F64</f>
        <v>1222001.21994</v>
      </c>
      <c r="G66" s="26">
        <f>+G65+G64</f>
        <v>1381160.085</v>
      </c>
      <c r="H66" s="27">
        <f>+H65+H64</f>
        <v>895798.98312</v>
      </c>
    </row>
    <row r="67" spans="1:8" ht="15.75" thickBot="1">
      <c r="A67" s="6">
        <v>17</v>
      </c>
      <c r="B67" s="9" t="s">
        <v>22</v>
      </c>
      <c r="C67" s="50"/>
      <c r="D67" s="26">
        <f>SUM(E67:H67)</f>
        <v>18642.96</v>
      </c>
      <c r="E67" s="26">
        <f>(+E25+E24)*6%/2</f>
        <v>4660.74</v>
      </c>
      <c r="F67" s="26">
        <f>(+F25+F24)*6%/2</f>
        <v>4660.74</v>
      </c>
      <c r="G67" s="26">
        <f>(+G25+G24)*6%/2</f>
        <v>4660.74</v>
      </c>
      <c r="H67" s="26">
        <f>(+H25+H24)*6%/2</f>
        <v>4660.74</v>
      </c>
    </row>
    <row r="68" spans="1:8" ht="30.75" thickBot="1">
      <c r="A68" s="15">
        <v>18</v>
      </c>
      <c r="B68" s="16" t="s">
        <v>76</v>
      </c>
      <c r="C68" s="54"/>
      <c r="D68" s="43">
        <f>+D26-D66-D67</f>
        <v>1133246.641520001</v>
      </c>
      <c r="E68" s="43">
        <f>+E26-E66-E67</f>
        <v>518787.85358000034</v>
      </c>
      <c r="F68" s="43">
        <f>+F26-F66-F67</f>
        <v>238789.17606000043</v>
      </c>
      <c r="G68" s="43">
        <f>+G26-G66-G67</f>
        <v>-54845.744999999886</v>
      </c>
      <c r="H68" s="43">
        <f>+H26-H66-H67</f>
        <v>430515.3568800001</v>
      </c>
    </row>
    <row r="69" spans="1:8" ht="15.75" thickBot="1">
      <c r="A69" s="17">
        <v>19</v>
      </c>
      <c r="B69" s="18" t="s">
        <v>23</v>
      </c>
      <c r="C69" s="55"/>
      <c r="D69" s="44">
        <f>SUM(E69:H69)</f>
        <v>1133246.641520001</v>
      </c>
      <c r="E69" s="45">
        <f>SUM(E70:E71)</f>
        <v>518787.85358000034</v>
      </c>
      <c r="F69" s="45">
        <f>SUM(F70:F71)</f>
        <v>238789.17606000043</v>
      </c>
      <c r="G69" s="45">
        <f>SUM(G70:G71)</f>
        <v>-54845.74499999991</v>
      </c>
      <c r="H69" s="45">
        <f>SUM(H70:H71)</f>
        <v>430515.3568800001</v>
      </c>
    </row>
    <row r="70" spans="1:8" ht="15.75" thickBot="1">
      <c r="A70" s="6">
        <v>19.1</v>
      </c>
      <c r="B70" s="19" t="s">
        <v>77</v>
      </c>
      <c r="C70" s="56"/>
      <c r="D70" s="26">
        <f>SUM(E70:H70)</f>
        <v>175978.41752000098</v>
      </c>
      <c r="E70" s="28">
        <f>+E68-E71</f>
        <v>279470.79758000036</v>
      </c>
      <c r="F70" s="28">
        <f>+F68-F71</f>
        <v>-527.8799399995769</v>
      </c>
      <c r="G70" s="28">
        <f>+G68-G71</f>
        <v>-294162.8009999999</v>
      </c>
      <c r="H70" s="28">
        <f>+H68-H71</f>
        <v>191198.30088000008</v>
      </c>
    </row>
    <row r="71" spans="1:8" ht="15.75" thickBot="1">
      <c r="A71" s="20">
        <v>19.2</v>
      </c>
      <c r="B71" s="21" t="s">
        <v>69</v>
      </c>
      <c r="C71" s="57"/>
      <c r="D71" s="26">
        <f>SUM(E71:H71)</f>
        <v>957268.224</v>
      </c>
      <c r="E71" s="29">
        <f>+E22</f>
        <v>239317.056</v>
      </c>
      <c r="F71" s="29">
        <f>+F22</f>
        <v>239317.056</v>
      </c>
      <c r="G71" s="29">
        <f>+G22</f>
        <v>239317.056</v>
      </c>
      <c r="H71" s="29">
        <f>+H22</f>
        <v>239317.056</v>
      </c>
    </row>
    <row r="72" spans="1:8" ht="15.75" thickTop="1">
      <c r="A72" s="1"/>
      <c r="B72" s="112"/>
      <c r="C72" s="112"/>
      <c r="D72" s="112"/>
      <c r="E72" s="112"/>
      <c r="F72" s="112"/>
      <c r="G72" s="112"/>
      <c r="H72" s="112"/>
    </row>
    <row r="73" spans="1:8" ht="15">
      <c r="A73" s="1"/>
      <c r="B73" s="113"/>
      <c r="C73" s="113"/>
      <c r="D73" s="113"/>
      <c r="E73" s="113"/>
      <c r="F73" s="113"/>
      <c r="G73" s="113"/>
      <c r="H73" s="113"/>
    </row>
    <row r="74" spans="1:8" ht="15">
      <c r="A74" s="1"/>
      <c r="B74" s="22"/>
      <c r="C74" s="22"/>
      <c r="D74" s="3"/>
      <c r="E74" s="3"/>
      <c r="F74" s="3"/>
      <c r="G74" s="3"/>
      <c r="H74" s="3"/>
    </row>
    <row r="75" spans="1:8" ht="15">
      <c r="A75" s="1"/>
      <c r="B75" s="3"/>
      <c r="C75" s="3"/>
      <c r="D75" s="1"/>
      <c r="E75" s="3"/>
      <c r="F75" s="3"/>
      <c r="G75" s="3"/>
      <c r="H75" s="3"/>
    </row>
    <row r="76" spans="1:8" ht="15">
      <c r="A76" s="3"/>
      <c r="B76" s="3"/>
      <c r="C76" s="3"/>
      <c r="D76" s="61"/>
      <c r="E76" s="3"/>
      <c r="F76" s="3"/>
      <c r="G76" s="3"/>
      <c r="H76" s="3"/>
    </row>
    <row r="77" spans="1:4" ht="15.75">
      <c r="A77" s="2"/>
      <c r="B77" s="24"/>
      <c r="D77" s="47"/>
    </row>
    <row r="78" spans="2:4" ht="12.75">
      <c r="B78" s="25"/>
      <c r="C78" s="47"/>
      <c r="D78" s="47"/>
    </row>
  </sheetData>
  <sheetProtection/>
  <mergeCells count="11">
    <mergeCell ref="D7:D8"/>
    <mergeCell ref="E7:H7"/>
    <mergeCell ref="B72:H72"/>
    <mergeCell ref="B73:H73"/>
    <mergeCell ref="A1:H1"/>
    <mergeCell ref="A2:H2"/>
    <mergeCell ref="A3:H3"/>
    <mergeCell ref="A5:H5"/>
    <mergeCell ref="A7:A8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10.125" style="0" customWidth="1"/>
    <col min="2" max="2" width="48.625" style="0" customWidth="1"/>
    <col min="3" max="3" width="10.75390625" style="0" customWidth="1"/>
    <col min="4" max="4" width="11.25390625" style="0" customWidth="1"/>
    <col min="5" max="5" width="13.00390625" style="0" customWidth="1"/>
    <col min="6" max="6" width="11.625" style="0" customWidth="1"/>
    <col min="7" max="7" width="12.125" style="0" customWidth="1"/>
    <col min="8" max="8" width="11.375" style="0" customWidth="1"/>
  </cols>
  <sheetData>
    <row r="1" spans="1:8" ht="14.25">
      <c r="A1" s="120" t="s">
        <v>0</v>
      </c>
      <c r="B1" s="120"/>
      <c r="C1" s="120"/>
      <c r="D1" s="120"/>
      <c r="E1" s="120"/>
      <c r="F1" s="120"/>
      <c r="G1" s="120"/>
      <c r="H1" s="120"/>
    </row>
    <row r="2" spans="1:8" ht="15">
      <c r="A2" s="121" t="s">
        <v>91</v>
      </c>
      <c r="B2" s="121"/>
      <c r="C2" s="121"/>
      <c r="D2" s="121"/>
      <c r="E2" s="121"/>
      <c r="F2" s="121"/>
      <c r="G2" s="121"/>
      <c r="H2" s="121"/>
    </row>
    <row r="3" spans="1:8" ht="15">
      <c r="A3" s="121" t="s">
        <v>92</v>
      </c>
      <c r="B3" s="121"/>
      <c r="C3" s="121"/>
      <c r="D3" s="121"/>
      <c r="E3" s="121"/>
      <c r="F3" s="121"/>
      <c r="G3" s="121"/>
      <c r="H3" s="121"/>
    </row>
    <row r="4" spans="1:8" ht="15">
      <c r="A4" s="121" t="s">
        <v>93</v>
      </c>
      <c r="B4" s="121"/>
      <c r="C4" s="121"/>
      <c r="D4" s="121"/>
      <c r="E4" s="121"/>
      <c r="F4" s="121"/>
      <c r="G4" s="121"/>
      <c r="H4" s="121"/>
    </row>
    <row r="5" spans="1:8" ht="15">
      <c r="A5" s="121" t="s">
        <v>24</v>
      </c>
      <c r="B5" s="121"/>
      <c r="C5" s="121"/>
      <c r="D5" s="121"/>
      <c r="E5" s="121"/>
      <c r="F5" s="121"/>
      <c r="G5" s="121"/>
      <c r="H5" s="121"/>
    </row>
    <row r="6" spans="1:8" ht="15.75" thickBot="1">
      <c r="A6" s="3"/>
      <c r="B6" s="3"/>
      <c r="C6" s="3"/>
      <c r="D6" s="3"/>
      <c r="E6" s="3"/>
      <c r="F6" s="3"/>
      <c r="G6" s="3"/>
      <c r="H6" s="3">
        <v>16855.8</v>
      </c>
    </row>
    <row r="7" spans="1:8" ht="29.25" customHeight="1" thickBot="1" thickTop="1">
      <c r="A7" s="114" t="s">
        <v>1</v>
      </c>
      <c r="B7" s="116" t="s">
        <v>2</v>
      </c>
      <c r="C7" s="118" t="s">
        <v>94</v>
      </c>
      <c r="D7" s="116" t="s">
        <v>4</v>
      </c>
      <c r="E7" s="122" t="s">
        <v>5</v>
      </c>
      <c r="F7" s="123"/>
      <c r="G7" s="123"/>
      <c r="H7" s="124"/>
    </row>
    <row r="8" spans="1:8" ht="32.25" customHeight="1" thickBot="1">
      <c r="A8" s="115"/>
      <c r="B8" s="117"/>
      <c r="C8" s="119"/>
      <c r="D8" s="117"/>
      <c r="E8" s="4" t="s">
        <v>6</v>
      </c>
      <c r="F8" s="4" t="s">
        <v>7</v>
      </c>
      <c r="G8" s="4" t="s">
        <v>8</v>
      </c>
      <c r="H8" s="5" t="s">
        <v>9</v>
      </c>
    </row>
    <row r="9" spans="1:8" ht="16.5" thickBot="1" thickTop="1">
      <c r="A9" s="6">
        <v>1</v>
      </c>
      <c r="B9" s="7">
        <v>2</v>
      </c>
      <c r="C9" s="48">
        <v>3</v>
      </c>
      <c r="D9" s="7">
        <v>4</v>
      </c>
      <c r="E9" s="7">
        <v>5</v>
      </c>
      <c r="F9" s="7">
        <v>6</v>
      </c>
      <c r="G9" s="7">
        <v>7</v>
      </c>
      <c r="H9" s="8">
        <v>8</v>
      </c>
    </row>
    <row r="10" spans="1:8" ht="15.75" thickBot="1">
      <c r="A10" s="6"/>
      <c r="B10" s="23" t="s">
        <v>25</v>
      </c>
      <c r="C10" s="49"/>
      <c r="D10" s="7"/>
      <c r="E10" s="7"/>
      <c r="F10" s="7"/>
      <c r="G10" s="7"/>
      <c r="H10" s="8"/>
    </row>
    <row r="11" spans="1:8" ht="15.75" thickBot="1">
      <c r="A11" s="6" t="s">
        <v>10</v>
      </c>
      <c r="B11" s="9" t="s">
        <v>10</v>
      </c>
      <c r="C11" s="50"/>
      <c r="D11" s="26"/>
      <c r="E11" s="9"/>
      <c r="F11" s="9"/>
      <c r="G11" s="9"/>
      <c r="H11" s="10"/>
    </row>
    <row r="12" spans="1:8" ht="15.75" thickBot="1">
      <c r="A12" s="11">
        <v>1</v>
      </c>
      <c r="B12" s="12" t="s">
        <v>11</v>
      </c>
      <c r="C12" s="51"/>
      <c r="D12" s="26">
        <f>SUM(E12:H12)</f>
        <v>8326269.899999999</v>
      </c>
      <c r="E12" s="26">
        <f>SUM(E14:E25)</f>
        <v>2036775.7799999998</v>
      </c>
      <c r="F12" s="26">
        <f>SUM(F14:F25)</f>
        <v>2036775.7799999998</v>
      </c>
      <c r="G12" s="26">
        <f>SUM(G14:G25)</f>
        <v>2126359.17</v>
      </c>
      <c r="H12" s="26">
        <f>SUM(H14:H25)</f>
        <v>2126359.17</v>
      </c>
    </row>
    <row r="13" spans="1:8" ht="15.75" thickBot="1">
      <c r="A13" s="11"/>
      <c r="B13" s="12" t="s">
        <v>12</v>
      </c>
      <c r="C13" s="51"/>
      <c r="D13" s="9"/>
      <c r="E13" s="26"/>
      <c r="F13" s="26"/>
      <c r="G13" s="26"/>
      <c r="H13" s="27"/>
    </row>
    <row r="14" spans="1:8" ht="15.75" thickBot="1">
      <c r="A14" s="42">
        <v>1.1</v>
      </c>
      <c r="B14" s="9" t="s">
        <v>95</v>
      </c>
      <c r="C14" s="64" t="s">
        <v>96</v>
      </c>
      <c r="D14" s="26">
        <f aca="true" t="shared" si="0" ref="D14:D27">SUM(E14:H14)</f>
        <v>1112482.7999999998</v>
      </c>
      <c r="E14" s="26">
        <f>5*3*16855.8</f>
        <v>252837</v>
      </c>
      <c r="F14" s="26">
        <f>5*3*16855.8</f>
        <v>252837</v>
      </c>
      <c r="G14" s="26">
        <f>6*3*16855.8</f>
        <v>303404.39999999997</v>
      </c>
      <c r="H14" s="26">
        <f>6*3*16855.8</f>
        <v>303404.39999999997</v>
      </c>
    </row>
    <row r="15" spans="1:8" ht="15.75" thickBot="1">
      <c r="A15" s="42">
        <v>1.2</v>
      </c>
      <c r="B15" s="9" t="s">
        <v>26</v>
      </c>
      <c r="C15" s="64" t="s">
        <v>97</v>
      </c>
      <c r="D15" s="26">
        <f t="shared" si="0"/>
        <v>1886164.02</v>
      </c>
      <c r="E15" s="26">
        <f>5.63*3*16855.8</f>
        <v>284694.462</v>
      </c>
      <c r="F15" s="26">
        <f>5.63*3*16855.8</f>
        <v>284694.462</v>
      </c>
      <c r="G15" s="26">
        <f>13.02*3*16855.8</f>
        <v>658387.5480000001</v>
      </c>
      <c r="H15" s="26">
        <f>13.02*3*16855.8</f>
        <v>658387.5480000001</v>
      </c>
    </row>
    <row r="16" spans="1:8" ht="15.75" thickBot="1">
      <c r="A16" s="42">
        <v>1.3</v>
      </c>
      <c r="B16" s="9" t="s">
        <v>27</v>
      </c>
      <c r="C16" s="64" t="s">
        <v>98</v>
      </c>
      <c r="D16" s="26">
        <f t="shared" si="0"/>
        <v>402516.50399999996</v>
      </c>
      <c r="E16" s="26">
        <f>1.96*3*H6</f>
        <v>99112.10399999999</v>
      </c>
      <c r="F16" s="26">
        <f>1.96*3*H6</f>
        <v>99112.10399999999</v>
      </c>
      <c r="G16" s="26">
        <f>2.02*3*H6</f>
        <v>102146.148</v>
      </c>
      <c r="H16" s="26">
        <f>2.02*3*H6</f>
        <v>102146.148</v>
      </c>
    </row>
    <row r="17" spans="1:8" ht="15.75" thickBot="1">
      <c r="A17" s="42">
        <v>1.4</v>
      </c>
      <c r="B17" s="9" t="s">
        <v>28</v>
      </c>
      <c r="C17" s="64" t="s">
        <v>99</v>
      </c>
      <c r="D17" s="26">
        <f t="shared" si="0"/>
        <v>614899.584</v>
      </c>
      <c r="E17" s="26">
        <f>3.04*3*H6</f>
        <v>153724.896</v>
      </c>
      <c r="F17" s="26">
        <f>3.04*3*H6</f>
        <v>153724.896</v>
      </c>
      <c r="G17" s="26">
        <f>3.04*3*H6</f>
        <v>153724.896</v>
      </c>
      <c r="H17" s="26">
        <f>3.04*3*H6</f>
        <v>153724.896</v>
      </c>
    </row>
    <row r="18" spans="1:8" ht="15.75" thickBot="1">
      <c r="A18" s="42">
        <v>1.5</v>
      </c>
      <c r="B18" s="9" t="s">
        <v>29</v>
      </c>
      <c r="C18" s="64" t="s">
        <v>100</v>
      </c>
      <c r="D18" s="26">
        <f t="shared" si="0"/>
        <v>92885.832</v>
      </c>
      <c r="E18" s="26">
        <f>30*3*325</f>
        <v>29250</v>
      </c>
      <c r="F18" s="26">
        <f>30*3*325</f>
        <v>29250</v>
      </c>
      <c r="G18" s="26">
        <f>0.34*3*16855.8</f>
        <v>17192.916</v>
      </c>
      <c r="H18" s="26">
        <f>0.34*3*16855.8</f>
        <v>17192.916</v>
      </c>
    </row>
    <row r="19" spans="1:8" ht="15.75" thickBot="1">
      <c r="A19" s="42">
        <v>1.6</v>
      </c>
      <c r="B19" s="9" t="s">
        <v>30</v>
      </c>
      <c r="C19" s="64" t="s">
        <v>101</v>
      </c>
      <c r="D19" s="26">
        <f t="shared" si="0"/>
        <v>74839.75200000001</v>
      </c>
      <c r="E19" s="26">
        <f>0.34*3*16855.8</f>
        <v>17192.916</v>
      </c>
      <c r="F19" s="26">
        <f>0.34*3*16855.8</f>
        <v>17192.916</v>
      </c>
      <c r="G19" s="26">
        <f>0.4*3*16855.8</f>
        <v>20226.960000000003</v>
      </c>
      <c r="H19" s="26">
        <f>0.4*3*16855.8</f>
        <v>20226.960000000003</v>
      </c>
    </row>
    <row r="20" spans="1:8" ht="15.75" thickBot="1">
      <c r="A20" s="42">
        <v>1.7</v>
      </c>
      <c r="B20" s="9" t="s">
        <v>31</v>
      </c>
      <c r="C20" s="64" t="s">
        <v>102</v>
      </c>
      <c r="D20" s="26">
        <f t="shared" si="0"/>
        <v>332733.49199999997</v>
      </c>
      <c r="E20" s="26">
        <f>1.62*3*16855.8</f>
        <v>81919.188</v>
      </c>
      <c r="F20" s="26">
        <f>1.62*3*16855.8</f>
        <v>81919.188</v>
      </c>
      <c r="G20" s="26">
        <f>1.67*3*16855.8</f>
        <v>84447.55799999999</v>
      </c>
      <c r="H20" s="26">
        <f>1.67*3*16855.8</f>
        <v>84447.55799999999</v>
      </c>
    </row>
    <row r="21" spans="1:8" ht="15.75" thickBot="1">
      <c r="A21" s="42">
        <v>1.8</v>
      </c>
      <c r="B21" s="9" t="s">
        <v>13</v>
      </c>
      <c r="C21" s="64" t="s">
        <v>103</v>
      </c>
      <c r="D21" s="26">
        <f t="shared" si="0"/>
        <v>1278343.872</v>
      </c>
      <c r="E21" s="26">
        <f>6.31*3*16855.8</f>
        <v>319080.294</v>
      </c>
      <c r="F21" s="26">
        <f>6.31*3*16855.8</f>
        <v>319080.294</v>
      </c>
      <c r="G21" s="26">
        <f>6.33*3*16855.8</f>
        <v>320091.642</v>
      </c>
      <c r="H21" s="26">
        <f>6.33*3*16855.8</f>
        <v>320091.642</v>
      </c>
    </row>
    <row r="22" spans="1:8" ht="15.75" thickBot="1">
      <c r="A22" s="42">
        <v>1.9</v>
      </c>
      <c r="B22" s="9" t="s">
        <v>14</v>
      </c>
      <c r="C22" s="64" t="s">
        <v>104</v>
      </c>
      <c r="D22" s="26">
        <f t="shared" si="0"/>
        <v>1731427.7759999998</v>
      </c>
      <c r="E22" s="26">
        <f>8.56*3*16855.8</f>
        <v>432856.94399999996</v>
      </c>
      <c r="F22" s="26">
        <f>8.56*3*16855.8</f>
        <v>432856.94399999996</v>
      </c>
      <c r="G22" s="26">
        <f>8.56*3*16855.8</f>
        <v>432856.94399999996</v>
      </c>
      <c r="H22" s="26">
        <f>8.56*3*16855.8</f>
        <v>432856.94399999996</v>
      </c>
    </row>
    <row r="23" spans="1:8" ht="15.75" thickBot="1">
      <c r="A23" s="42" t="s">
        <v>33</v>
      </c>
      <c r="B23" s="9" t="s">
        <v>32</v>
      </c>
      <c r="C23" s="65" t="s">
        <v>105</v>
      </c>
      <c r="D23" s="66">
        <f t="shared" si="0"/>
        <v>67760.316</v>
      </c>
      <c r="E23" s="28">
        <v>0</v>
      </c>
      <c r="F23" s="66">
        <v>0</v>
      </c>
      <c r="G23" s="28">
        <f>0.67*3*16855.8</f>
        <v>33880.158</v>
      </c>
      <c r="H23" s="28">
        <f>0.67*3*16855.8</f>
        <v>33880.158</v>
      </c>
    </row>
    <row r="24" spans="1:8" ht="15.75" thickBot="1">
      <c r="A24" s="42" t="s">
        <v>106</v>
      </c>
      <c r="B24" s="67" t="s">
        <v>107</v>
      </c>
      <c r="C24" s="68" t="s">
        <v>108</v>
      </c>
      <c r="D24" s="66">
        <f t="shared" si="0"/>
        <v>213394.42799999999</v>
      </c>
      <c r="E24" s="28">
        <f>2.11*3*16855.8</f>
        <v>106697.21399999999</v>
      </c>
      <c r="F24" s="28">
        <f>2.11*3*16855.8</f>
        <v>106697.21399999999</v>
      </c>
      <c r="G24" s="28">
        <f>0*3*16855.8</f>
        <v>0</v>
      </c>
      <c r="H24" s="28">
        <f>0*3*16855.8</f>
        <v>0</v>
      </c>
    </row>
    <row r="25" spans="1:8" ht="15.75" thickBot="1">
      <c r="A25" s="42" t="s">
        <v>109</v>
      </c>
      <c r="B25" s="67" t="s">
        <v>110</v>
      </c>
      <c r="C25" s="68" t="s">
        <v>111</v>
      </c>
      <c r="D25" s="69">
        <f t="shared" si="0"/>
        <v>518821.524</v>
      </c>
      <c r="E25" s="69">
        <f>5.13*3*16855.8</f>
        <v>259410.762</v>
      </c>
      <c r="F25" s="69">
        <f>5.13*3*16855.8</f>
        <v>259410.762</v>
      </c>
      <c r="G25" s="69">
        <f>0*3*16855.8</f>
        <v>0</v>
      </c>
      <c r="H25" s="69">
        <f>0*3*16855.8</f>
        <v>0</v>
      </c>
    </row>
    <row r="26" spans="1:8" ht="15.75" thickBot="1">
      <c r="A26" s="11">
        <v>2</v>
      </c>
      <c r="B26" s="67" t="s">
        <v>34</v>
      </c>
      <c r="C26" s="68"/>
      <c r="D26" s="66">
        <f t="shared" si="0"/>
        <v>2705.52</v>
      </c>
      <c r="E26" s="66">
        <v>676.38</v>
      </c>
      <c r="F26" s="66">
        <v>676.38</v>
      </c>
      <c r="G26" s="66">
        <v>676.38</v>
      </c>
      <c r="H26" s="66">
        <v>676.38</v>
      </c>
    </row>
    <row r="27" spans="1:8" ht="15.75" thickBot="1">
      <c r="A27" s="11">
        <v>3</v>
      </c>
      <c r="B27" s="67" t="s">
        <v>64</v>
      </c>
      <c r="C27" s="70"/>
      <c r="D27" s="71">
        <f t="shared" si="0"/>
        <v>55200</v>
      </c>
      <c r="E27" s="72">
        <v>13800</v>
      </c>
      <c r="F27" s="73">
        <v>13800</v>
      </c>
      <c r="G27" s="73">
        <v>13800</v>
      </c>
      <c r="H27" s="74">
        <v>13800</v>
      </c>
    </row>
    <row r="28" spans="1:8" ht="15.75" thickBot="1">
      <c r="A28" s="39">
        <v>4</v>
      </c>
      <c r="B28" s="40" t="s">
        <v>65</v>
      </c>
      <c r="C28" s="75"/>
      <c r="D28" s="38">
        <f>+D12+D26+D27</f>
        <v>8384175.419999999</v>
      </c>
      <c r="E28" s="38">
        <f>+E12+E26+E27</f>
        <v>2051252.1599999997</v>
      </c>
      <c r="F28" s="38">
        <f>+F12+F26+F27</f>
        <v>2051252.1599999997</v>
      </c>
      <c r="G28" s="38">
        <f>+G12+G26+G27</f>
        <v>2140835.55</v>
      </c>
      <c r="H28" s="38">
        <f>+H12+H26+H27</f>
        <v>2140835.55</v>
      </c>
    </row>
    <row r="29" spans="1:8" ht="15.75" thickBot="1">
      <c r="A29" s="6"/>
      <c r="B29" s="12" t="s">
        <v>10</v>
      </c>
      <c r="C29" s="51"/>
      <c r="D29" s="9"/>
      <c r="E29" s="26"/>
      <c r="F29" s="26"/>
      <c r="G29" s="26"/>
      <c r="H29" s="27"/>
    </row>
    <row r="30" spans="1:8" ht="15.75" thickBot="1">
      <c r="A30" s="6"/>
      <c r="B30" s="23" t="s">
        <v>35</v>
      </c>
      <c r="C30" s="49"/>
      <c r="D30" s="9"/>
      <c r="E30" s="26"/>
      <c r="F30" s="26"/>
      <c r="G30" s="26"/>
      <c r="H30" s="27"/>
    </row>
    <row r="31" spans="1:8" ht="15.75" thickBot="1">
      <c r="A31" s="30">
        <v>5</v>
      </c>
      <c r="B31" s="31" t="s">
        <v>15</v>
      </c>
      <c r="C31" s="76"/>
      <c r="D31" s="32">
        <f aca="true" t="shared" si="1" ref="D31:D65">SUM(E31:H31)</f>
        <v>1314331.2</v>
      </c>
      <c r="E31" s="32">
        <f>SUM(E32:E37)</f>
        <v>319582.8</v>
      </c>
      <c r="F31" s="32">
        <f>SUM(F32:F37)</f>
        <v>354082.8</v>
      </c>
      <c r="G31" s="32">
        <f>SUM(G32:G37)</f>
        <v>319582.8</v>
      </c>
      <c r="H31" s="32">
        <f>SUM(H32:H37)</f>
        <v>321082.8</v>
      </c>
    </row>
    <row r="32" spans="1:8" ht="15.75" thickBot="1">
      <c r="A32" s="6">
        <v>5.1</v>
      </c>
      <c r="B32" s="9" t="s">
        <v>16</v>
      </c>
      <c r="C32" s="50"/>
      <c r="D32" s="26">
        <f t="shared" si="1"/>
        <v>804000</v>
      </c>
      <c r="E32" s="26">
        <v>201000</v>
      </c>
      <c r="F32" s="26">
        <v>201000</v>
      </c>
      <c r="G32" s="26">
        <v>201000</v>
      </c>
      <c r="H32" s="26">
        <v>201000</v>
      </c>
    </row>
    <row r="33" spans="1:8" ht="15.75" thickBot="1">
      <c r="A33" s="11">
        <v>5.2</v>
      </c>
      <c r="B33" s="12" t="s">
        <v>39</v>
      </c>
      <c r="C33" s="51"/>
      <c r="D33" s="26">
        <f t="shared" si="1"/>
        <v>242808</v>
      </c>
      <c r="E33" s="26">
        <f>E32*30.2%</f>
        <v>60702</v>
      </c>
      <c r="F33" s="26">
        <f>F32*30.2%</f>
        <v>60702</v>
      </c>
      <c r="G33" s="26">
        <f>G32*30.2%</f>
        <v>60702</v>
      </c>
      <c r="H33" s="26">
        <f>H32*30.2%</f>
        <v>60702</v>
      </c>
    </row>
    <row r="34" spans="1:9" ht="15.75" thickBot="1">
      <c r="A34" s="6">
        <v>5.3</v>
      </c>
      <c r="B34" s="9" t="s">
        <v>36</v>
      </c>
      <c r="C34" s="50"/>
      <c r="D34" s="26">
        <f t="shared" si="1"/>
        <v>192163.2</v>
      </c>
      <c r="E34" s="26">
        <f>37540.8</f>
        <v>37540.8</v>
      </c>
      <c r="F34" s="26">
        <f>4500+37540.8+33000</f>
        <v>75040.8</v>
      </c>
      <c r="G34" s="26">
        <f>37540.8</f>
        <v>37540.8</v>
      </c>
      <c r="H34" s="27">
        <f>4500+37540.8</f>
        <v>42040.8</v>
      </c>
      <c r="I34" t="s">
        <v>112</v>
      </c>
    </row>
    <row r="35" spans="1:8" ht="15.75" thickBot="1">
      <c r="A35" s="6">
        <v>5.4</v>
      </c>
      <c r="B35" s="9" t="s">
        <v>17</v>
      </c>
      <c r="C35" s="50"/>
      <c r="D35" s="26">
        <f t="shared" si="1"/>
        <v>6000</v>
      </c>
      <c r="E35" s="26">
        <v>3000</v>
      </c>
      <c r="F35" s="26"/>
      <c r="G35" s="26">
        <v>3000</v>
      </c>
      <c r="H35" s="27"/>
    </row>
    <row r="36" spans="1:9" ht="15.75" thickBot="1">
      <c r="A36" s="6">
        <v>5.5</v>
      </c>
      <c r="B36" s="9" t="s">
        <v>37</v>
      </c>
      <c r="C36" s="50"/>
      <c r="D36" s="26">
        <f t="shared" si="1"/>
        <v>69360</v>
      </c>
      <c r="E36" s="26">
        <f>5780*3</f>
        <v>17340</v>
      </c>
      <c r="F36" s="26">
        <f>5780*3</f>
        <v>17340</v>
      </c>
      <c r="G36" s="26">
        <f>5780*3</f>
        <v>17340</v>
      </c>
      <c r="H36" s="26">
        <f>5780*3</f>
        <v>17340</v>
      </c>
      <c r="I36" t="s">
        <v>113</v>
      </c>
    </row>
    <row r="37" spans="1:8" ht="15.75" thickBot="1">
      <c r="A37" s="6">
        <v>5.6</v>
      </c>
      <c r="B37" s="9" t="s">
        <v>66</v>
      </c>
      <c r="C37" s="50"/>
      <c r="D37" s="26">
        <f t="shared" si="1"/>
        <v>0</v>
      </c>
      <c r="E37" s="26"/>
      <c r="F37" s="26"/>
      <c r="G37" s="26"/>
      <c r="H37" s="27"/>
    </row>
    <row r="38" spans="1:8" ht="15.75" thickBot="1">
      <c r="A38" s="30">
        <v>6</v>
      </c>
      <c r="B38" s="31" t="s">
        <v>50</v>
      </c>
      <c r="C38" s="77"/>
      <c r="D38" s="32">
        <f t="shared" si="1"/>
        <v>1546967.72</v>
      </c>
      <c r="E38" s="32">
        <f>SUM(E39:E42)</f>
        <v>377991.93</v>
      </c>
      <c r="F38" s="32">
        <f>SUM(F39:F42)</f>
        <v>395491.93</v>
      </c>
      <c r="G38" s="32">
        <f>SUM(G39:G42)</f>
        <v>377991.93</v>
      </c>
      <c r="H38" s="32">
        <f>SUM(H39:H42)</f>
        <v>395491.93</v>
      </c>
    </row>
    <row r="39" spans="1:8" ht="15.75" thickBot="1">
      <c r="A39" s="6">
        <v>6.1</v>
      </c>
      <c r="B39" s="9" t="s">
        <v>16</v>
      </c>
      <c r="C39" s="50"/>
      <c r="D39" s="26">
        <f t="shared" si="1"/>
        <v>876000</v>
      </c>
      <c r="E39" s="26">
        <v>219000</v>
      </c>
      <c r="F39" s="26">
        <v>219000</v>
      </c>
      <c r="G39" s="26">
        <v>219000</v>
      </c>
      <c r="H39" s="26">
        <v>219000</v>
      </c>
    </row>
    <row r="40" spans="1:8" ht="15.75" thickBot="1">
      <c r="A40" s="11">
        <v>6.2</v>
      </c>
      <c r="B40" s="12" t="s">
        <v>39</v>
      </c>
      <c r="C40" s="51"/>
      <c r="D40" s="26">
        <f t="shared" si="1"/>
        <v>264552</v>
      </c>
      <c r="E40" s="26">
        <f>E39*30.2%</f>
        <v>66138</v>
      </c>
      <c r="F40" s="26">
        <f>F39*30.2%</f>
        <v>66138</v>
      </c>
      <c r="G40" s="26">
        <f>G39*30.2%</f>
        <v>66138</v>
      </c>
      <c r="H40" s="26">
        <f>H39*30.2%</f>
        <v>66138</v>
      </c>
    </row>
    <row r="41" spans="1:8" ht="15.75" thickBot="1">
      <c r="A41" s="6">
        <v>6.3</v>
      </c>
      <c r="B41" s="9" t="s">
        <v>114</v>
      </c>
      <c r="C41" s="50"/>
      <c r="D41" s="26">
        <f t="shared" si="1"/>
        <v>35000</v>
      </c>
      <c r="E41" s="26">
        <v>0</v>
      </c>
      <c r="F41" s="26">
        <v>17500</v>
      </c>
      <c r="G41" s="26">
        <v>0</v>
      </c>
      <c r="H41" s="27">
        <v>17500</v>
      </c>
    </row>
    <row r="42" spans="1:8" ht="15.75" thickBot="1">
      <c r="A42" s="6">
        <v>6.4</v>
      </c>
      <c r="B42" s="9" t="s">
        <v>18</v>
      </c>
      <c r="C42" s="50"/>
      <c r="D42" s="26">
        <f t="shared" si="1"/>
        <v>371415.72</v>
      </c>
      <c r="E42" s="26">
        <f>SUM(E43:E48)</f>
        <v>92853.93</v>
      </c>
      <c r="F42" s="26">
        <f>SUM(F43:F48)</f>
        <v>92853.93</v>
      </c>
      <c r="G42" s="26">
        <f>SUM(G43:G48)</f>
        <v>92853.93</v>
      </c>
      <c r="H42" s="26">
        <f>SUM(H43:H48)</f>
        <v>92853.93</v>
      </c>
    </row>
    <row r="43" spans="1:8" ht="15.75" thickBot="1">
      <c r="A43" s="6"/>
      <c r="B43" s="9" t="s">
        <v>19</v>
      </c>
      <c r="C43" s="50"/>
      <c r="D43" s="26"/>
      <c r="E43" s="26"/>
      <c r="F43" s="26"/>
      <c r="G43" s="26"/>
      <c r="H43" s="27"/>
    </row>
    <row r="44" spans="1:8" ht="15.75" thickBot="1">
      <c r="A44" s="35" t="s">
        <v>70</v>
      </c>
      <c r="B44" s="9" t="s">
        <v>20</v>
      </c>
      <c r="C44" s="50"/>
      <c r="D44" s="26">
        <f t="shared" si="1"/>
        <v>22414.920000000002</v>
      </c>
      <c r="E44" s="26">
        <f>1867.91*3</f>
        <v>5603.7300000000005</v>
      </c>
      <c r="F44" s="26">
        <f>1867.91*3</f>
        <v>5603.7300000000005</v>
      </c>
      <c r="G44" s="26">
        <f>1867.91*3</f>
        <v>5603.7300000000005</v>
      </c>
      <c r="H44" s="26">
        <f>1867.91*3</f>
        <v>5603.7300000000005</v>
      </c>
    </row>
    <row r="45" spans="1:9" ht="15.75" thickBot="1">
      <c r="A45" s="35" t="s">
        <v>71</v>
      </c>
      <c r="B45" s="9" t="s">
        <v>41</v>
      </c>
      <c r="C45" s="50"/>
      <c r="D45" s="26">
        <f t="shared" si="1"/>
        <v>88992</v>
      </c>
      <c r="E45" s="26">
        <f>7416*3</f>
        <v>22248</v>
      </c>
      <c r="F45" s="26">
        <f>7416*3</f>
        <v>22248</v>
      </c>
      <c r="G45" s="26">
        <f>7416*3</f>
        <v>22248</v>
      </c>
      <c r="H45" s="26">
        <f>7416*3</f>
        <v>22248</v>
      </c>
      <c r="I45" t="s">
        <v>44</v>
      </c>
    </row>
    <row r="46" spans="1:9" ht="15.75" thickBot="1">
      <c r="A46" s="35" t="s">
        <v>72</v>
      </c>
      <c r="B46" s="9" t="s">
        <v>42</v>
      </c>
      <c r="C46" s="50"/>
      <c r="D46" s="26">
        <f t="shared" si="1"/>
        <v>20008.800000000003</v>
      </c>
      <c r="E46" s="26">
        <f>1667.4*3</f>
        <v>5002.200000000001</v>
      </c>
      <c r="F46" s="26">
        <f>1667.4*3</f>
        <v>5002.200000000001</v>
      </c>
      <c r="G46" s="26">
        <f>1667.4*3</f>
        <v>5002.200000000001</v>
      </c>
      <c r="H46" s="26">
        <f>1667.4*3</f>
        <v>5002.200000000001</v>
      </c>
      <c r="I46" t="s">
        <v>43</v>
      </c>
    </row>
    <row r="47" spans="1:9" ht="15.75" thickBot="1">
      <c r="A47" s="35" t="s">
        <v>73</v>
      </c>
      <c r="B47" s="9" t="s">
        <v>45</v>
      </c>
      <c r="C47" s="50"/>
      <c r="D47" s="26">
        <f t="shared" si="1"/>
        <v>240000</v>
      </c>
      <c r="E47" s="26">
        <v>60000</v>
      </c>
      <c r="F47" s="26">
        <v>60000</v>
      </c>
      <c r="G47" s="26">
        <v>60000</v>
      </c>
      <c r="H47" s="26">
        <v>60000</v>
      </c>
      <c r="I47" t="s">
        <v>46</v>
      </c>
    </row>
    <row r="48" spans="1:8" ht="15.75" thickBot="1">
      <c r="A48" s="35" t="s">
        <v>74</v>
      </c>
      <c r="B48" s="9" t="s">
        <v>48</v>
      </c>
      <c r="C48" s="50"/>
      <c r="D48" s="26">
        <f t="shared" si="1"/>
        <v>0</v>
      </c>
      <c r="E48" s="26">
        <v>0</v>
      </c>
      <c r="F48" s="26">
        <v>0</v>
      </c>
      <c r="G48" s="62">
        <v>0</v>
      </c>
      <c r="H48" s="62">
        <v>0</v>
      </c>
    </row>
    <row r="49" spans="1:8" ht="15.75" thickBot="1">
      <c r="A49" s="33">
        <v>7</v>
      </c>
      <c r="B49" s="31" t="s">
        <v>49</v>
      </c>
      <c r="C49" s="50"/>
      <c r="D49" s="32">
        <f t="shared" si="1"/>
        <v>699020</v>
      </c>
      <c r="E49" s="32">
        <f>SUM(E50:E52)</f>
        <v>166005</v>
      </c>
      <c r="F49" s="32">
        <f>SUM(F50:F52)</f>
        <v>183505</v>
      </c>
      <c r="G49" s="32">
        <f>SUM(G50:G52)</f>
        <v>166005</v>
      </c>
      <c r="H49" s="32">
        <f>SUM(H50:H52)</f>
        <v>183505</v>
      </c>
    </row>
    <row r="50" spans="1:8" ht="15.75" thickBot="1">
      <c r="A50" s="6">
        <v>7.1</v>
      </c>
      <c r="B50" s="9" t="s">
        <v>16</v>
      </c>
      <c r="C50" s="50"/>
      <c r="D50" s="26">
        <f t="shared" si="1"/>
        <v>510000</v>
      </c>
      <c r="E50" s="26">
        <v>127500</v>
      </c>
      <c r="F50" s="26">
        <v>127500</v>
      </c>
      <c r="G50" s="26">
        <v>127500</v>
      </c>
      <c r="H50" s="26">
        <v>127500</v>
      </c>
    </row>
    <row r="51" spans="1:8" ht="15.75" thickBot="1">
      <c r="A51" s="6">
        <v>7.2</v>
      </c>
      <c r="B51" s="12" t="s">
        <v>39</v>
      </c>
      <c r="C51" s="50"/>
      <c r="D51" s="26">
        <f t="shared" si="1"/>
        <v>154020</v>
      </c>
      <c r="E51" s="26">
        <f>E50*30.2%</f>
        <v>38505</v>
      </c>
      <c r="F51" s="26">
        <f>+F50*30.2%</f>
        <v>38505</v>
      </c>
      <c r="G51" s="26">
        <f>+G50*30.2%</f>
        <v>38505</v>
      </c>
      <c r="H51" s="26">
        <f>+H50*30.2%</f>
        <v>38505</v>
      </c>
    </row>
    <row r="52" spans="1:8" ht="15.75" thickBot="1">
      <c r="A52" s="6">
        <v>7.3</v>
      </c>
      <c r="B52" s="9" t="s">
        <v>114</v>
      </c>
      <c r="C52" s="50"/>
      <c r="D52" s="26">
        <f t="shared" si="1"/>
        <v>35000</v>
      </c>
      <c r="E52" s="26"/>
      <c r="F52" s="26">
        <v>17500</v>
      </c>
      <c r="G52" s="26"/>
      <c r="H52" s="27">
        <v>17500</v>
      </c>
    </row>
    <row r="53" spans="1:8" ht="15.75" thickBot="1">
      <c r="A53" s="33">
        <v>8</v>
      </c>
      <c r="B53" s="31" t="s">
        <v>51</v>
      </c>
      <c r="C53" s="50"/>
      <c r="D53" s="32">
        <f t="shared" si="1"/>
        <v>599116.08</v>
      </c>
      <c r="E53" s="32">
        <f>SUM(E54:E56)</f>
        <v>137704.02</v>
      </c>
      <c r="F53" s="32">
        <f>SUM(F54:F56)</f>
        <v>137704.02</v>
      </c>
      <c r="G53" s="32">
        <f>SUM(G54:G56)</f>
        <v>186004.02</v>
      </c>
      <c r="H53" s="32">
        <f>SUM(H54:H56)</f>
        <v>137704.02</v>
      </c>
    </row>
    <row r="54" spans="1:9" ht="15.75" thickBot="1">
      <c r="A54" s="6">
        <v>8.1</v>
      </c>
      <c r="B54" s="9" t="s">
        <v>52</v>
      </c>
      <c r="C54" s="50"/>
      <c r="D54" s="26">
        <f t="shared" si="1"/>
        <v>550816.08</v>
      </c>
      <c r="E54" s="26">
        <f>45901.34*3</f>
        <v>137704.02</v>
      </c>
      <c r="F54" s="26">
        <f>45901.34*3</f>
        <v>137704.02</v>
      </c>
      <c r="G54" s="26">
        <f>45901.34*3</f>
        <v>137704.02</v>
      </c>
      <c r="H54" s="26">
        <f>45901.34*3</f>
        <v>137704.02</v>
      </c>
      <c r="I54" t="s">
        <v>43</v>
      </c>
    </row>
    <row r="55" spans="1:8" ht="15.75" thickBot="1">
      <c r="A55" s="6">
        <v>8.2</v>
      </c>
      <c r="B55" s="9" t="s">
        <v>53</v>
      </c>
      <c r="C55" s="50"/>
      <c r="D55" s="26">
        <f t="shared" si="1"/>
        <v>2300</v>
      </c>
      <c r="E55" s="26"/>
      <c r="F55" s="26"/>
      <c r="G55" s="62">
        <v>2300</v>
      </c>
      <c r="H55" s="63"/>
    </row>
    <row r="56" spans="1:8" ht="15.75" thickBot="1">
      <c r="A56" s="6">
        <v>8.3</v>
      </c>
      <c r="B56" s="9" t="s">
        <v>54</v>
      </c>
      <c r="C56" s="50"/>
      <c r="D56" s="26">
        <f t="shared" si="1"/>
        <v>46000</v>
      </c>
      <c r="E56" s="26"/>
      <c r="F56" s="26"/>
      <c r="G56" s="62">
        <v>46000</v>
      </c>
      <c r="H56" s="63"/>
    </row>
    <row r="57" spans="1:9" ht="15.75" thickBot="1">
      <c r="A57" s="33">
        <v>9</v>
      </c>
      <c r="B57" s="31" t="s">
        <v>55</v>
      </c>
      <c r="C57" s="50"/>
      <c r="D57" s="32">
        <f t="shared" si="1"/>
        <v>167100</v>
      </c>
      <c r="E57" s="32">
        <v>41775</v>
      </c>
      <c r="F57" s="32">
        <v>41775</v>
      </c>
      <c r="G57" s="32">
        <v>41775</v>
      </c>
      <c r="H57" s="32">
        <v>41775</v>
      </c>
      <c r="I57" t="s">
        <v>115</v>
      </c>
    </row>
    <row r="58" spans="1:9" ht="15.75" thickBot="1">
      <c r="A58" s="33">
        <v>10</v>
      </c>
      <c r="B58" s="31" t="s">
        <v>56</v>
      </c>
      <c r="C58" s="50"/>
      <c r="D58" s="32">
        <f t="shared" si="1"/>
        <v>63000</v>
      </c>
      <c r="E58" s="32">
        <f>5250*3</f>
        <v>15750</v>
      </c>
      <c r="F58" s="32">
        <f>5250*3</f>
        <v>15750</v>
      </c>
      <c r="G58" s="32">
        <f>5250*3</f>
        <v>15750</v>
      </c>
      <c r="H58" s="32">
        <f>5250*3</f>
        <v>15750</v>
      </c>
      <c r="I58" t="s">
        <v>44</v>
      </c>
    </row>
    <row r="59" spans="1:8" ht="15.75" thickBot="1">
      <c r="A59" s="33">
        <v>11</v>
      </c>
      <c r="B59" s="31" t="s">
        <v>58</v>
      </c>
      <c r="C59" s="50"/>
      <c r="D59" s="32">
        <f t="shared" si="1"/>
        <v>398936</v>
      </c>
      <c r="E59" s="32">
        <f>SUM(E60:E62)</f>
        <v>87234</v>
      </c>
      <c r="F59" s="32">
        <f>SUM(F60:F62)</f>
        <v>87234</v>
      </c>
      <c r="G59" s="32">
        <f>SUM(G60:G62)</f>
        <v>137234</v>
      </c>
      <c r="H59" s="32">
        <f>SUM(H60:H62)</f>
        <v>87234</v>
      </c>
    </row>
    <row r="60" spans="1:8" ht="15.75" thickBot="1">
      <c r="A60" s="6">
        <v>11.1</v>
      </c>
      <c r="B60" s="9" t="s">
        <v>16</v>
      </c>
      <c r="C60" s="50"/>
      <c r="D60" s="26">
        <f t="shared" si="1"/>
        <v>268000</v>
      </c>
      <c r="E60" s="26">
        <v>67000</v>
      </c>
      <c r="F60" s="26">
        <v>67000</v>
      </c>
      <c r="G60" s="26">
        <v>67000</v>
      </c>
      <c r="H60" s="26">
        <v>67000</v>
      </c>
    </row>
    <row r="61" spans="1:8" ht="15.75" thickBot="1">
      <c r="A61" s="6">
        <v>11.2</v>
      </c>
      <c r="B61" s="12" t="s">
        <v>39</v>
      </c>
      <c r="C61" s="50"/>
      <c r="D61" s="26">
        <f t="shared" si="1"/>
        <v>80936</v>
      </c>
      <c r="E61" s="26">
        <f>+E60*30.2%</f>
        <v>20234</v>
      </c>
      <c r="F61" s="26">
        <f>+F60*30.2%</f>
        <v>20234</v>
      </c>
      <c r="G61" s="26">
        <f>+G60*30.2%</f>
        <v>20234</v>
      </c>
      <c r="H61" s="26">
        <f>+H60*30.2%</f>
        <v>20234</v>
      </c>
    </row>
    <row r="62" spans="1:8" ht="15.75" thickBot="1">
      <c r="A62" s="6">
        <v>11.3</v>
      </c>
      <c r="B62" s="9" t="s">
        <v>59</v>
      </c>
      <c r="C62" s="50"/>
      <c r="D62" s="26">
        <f t="shared" si="1"/>
        <v>50000</v>
      </c>
      <c r="E62" s="26"/>
      <c r="F62" s="26"/>
      <c r="G62" s="26">
        <v>50000</v>
      </c>
      <c r="H62" s="27"/>
    </row>
    <row r="63" spans="1:8" ht="15.75" thickBot="1">
      <c r="A63" s="30">
        <v>12</v>
      </c>
      <c r="B63" s="31" t="s">
        <v>60</v>
      </c>
      <c r="C63" s="50"/>
      <c r="D63" s="32">
        <f t="shared" si="1"/>
        <v>1500000</v>
      </c>
      <c r="E63" s="32">
        <f>+E64</f>
        <v>100000</v>
      </c>
      <c r="F63" s="32">
        <f>+F64</f>
        <v>600000</v>
      </c>
      <c r="G63" s="32">
        <f>+G64</f>
        <v>800000</v>
      </c>
      <c r="H63" s="34">
        <f>+H64</f>
        <v>0</v>
      </c>
    </row>
    <row r="64" spans="1:8" ht="15.75" thickBot="1">
      <c r="A64" s="6">
        <v>12.1</v>
      </c>
      <c r="B64" s="9" t="s">
        <v>61</v>
      </c>
      <c r="C64" s="50"/>
      <c r="D64" s="26">
        <f t="shared" si="1"/>
        <v>1500000</v>
      </c>
      <c r="E64" s="26">
        <f>100000</f>
        <v>100000</v>
      </c>
      <c r="F64" s="26">
        <f>350000+250000</f>
        <v>600000</v>
      </c>
      <c r="G64" s="26">
        <f>100000+450000+250000</f>
        <v>800000</v>
      </c>
      <c r="H64" s="27"/>
    </row>
    <row r="65" spans="1:9" ht="15.75" thickBot="1">
      <c r="A65" s="30">
        <v>13</v>
      </c>
      <c r="B65" s="31" t="s">
        <v>62</v>
      </c>
      <c r="C65" s="50"/>
      <c r="D65" s="32">
        <f t="shared" si="1"/>
        <v>107040</v>
      </c>
      <c r="E65" s="32">
        <f>8920*3</f>
        <v>26760</v>
      </c>
      <c r="F65" s="32">
        <f>8920*3</f>
        <v>26760</v>
      </c>
      <c r="G65" s="32">
        <f>8920*3</f>
        <v>26760</v>
      </c>
      <c r="H65" s="32">
        <f>8920*3</f>
        <v>26760</v>
      </c>
      <c r="I65" t="s">
        <v>63</v>
      </c>
    </row>
    <row r="66" spans="1:8" ht="15.75" thickBot="1">
      <c r="A66" s="36">
        <v>14</v>
      </c>
      <c r="B66" s="37" t="s">
        <v>67</v>
      </c>
      <c r="C66" s="53"/>
      <c r="D66" s="38">
        <f>+D65+D63+D59+D58+D57+D53+D49+D38+D31</f>
        <v>6395511</v>
      </c>
      <c r="E66" s="38">
        <f>+E65+E63+E59+E58+E57+E53+E49+E38+E31</f>
        <v>1272802.75</v>
      </c>
      <c r="F66" s="38">
        <f>+F65+F63+F59+F58+F57+F53+F49+F38+F31</f>
        <v>1842302.75</v>
      </c>
      <c r="G66" s="38">
        <f>+G65+G63+G59+G58+G57+G53+G49+G38+G31</f>
        <v>2071102.75</v>
      </c>
      <c r="H66" s="38">
        <f>+H65+H63+H59+H58+H57+H53+H49+H38+H31</f>
        <v>1209302.75</v>
      </c>
    </row>
    <row r="67" spans="1:9" ht="15.75" thickBot="1">
      <c r="A67" s="6">
        <v>15</v>
      </c>
      <c r="B67" s="9" t="s">
        <v>21</v>
      </c>
      <c r="C67" s="50"/>
      <c r="D67" s="26">
        <f>SUM(E67:H67)</f>
        <v>144000</v>
      </c>
      <c r="E67" s="26">
        <f>2000*3+30000</f>
        <v>36000</v>
      </c>
      <c r="F67" s="26">
        <f>2000*3+30000</f>
        <v>36000</v>
      </c>
      <c r="G67" s="26">
        <f>2000*3+30000</f>
        <v>36000</v>
      </c>
      <c r="H67" s="26">
        <f>2000*3+30000</f>
        <v>36000</v>
      </c>
      <c r="I67" t="s">
        <v>116</v>
      </c>
    </row>
    <row r="68" spans="1:8" ht="15.75" thickBot="1">
      <c r="A68" s="13">
        <v>16</v>
      </c>
      <c r="B68" s="14" t="s">
        <v>119</v>
      </c>
      <c r="C68" s="53"/>
      <c r="D68" s="26">
        <f>SUM(E68:H68)</f>
        <v>6539511</v>
      </c>
      <c r="E68" s="26">
        <f>+E67+E66</f>
        <v>1308802.75</v>
      </c>
      <c r="F68" s="26">
        <f>+F67+F66</f>
        <v>1878302.75</v>
      </c>
      <c r="G68" s="26">
        <f>+G67+G66</f>
        <v>2107102.75</v>
      </c>
      <c r="H68" s="27">
        <f>+H67+H66</f>
        <v>1245302.75</v>
      </c>
    </row>
    <row r="69" spans="1:8" ht="15.75" thickBot="1">
      <c r="A69" s="6">
        <v>17</v>
      </c>
      <c r="B69" s="9" t="s">
        <v>22</v>
      </c>
      <c r="C69" s="50"/>
      <c r="D69" s="26">
        <f>SUM(E69:H69)</f>
        <v>1656</v>
      </c>
      <c r="E69" s="26">
        <f>+E27*6%/2</f>
        <v>414</v>
      </c>
      <c r="F69" s="26">
        <f>+F27*6%/2</f>
        <v>414</v>
      </c>
      <c r="G69" s="26">
        <f>+G27*6%/2</f>
        <v>414</v>
      </c>
      <c r="H69" s="26">
        <f>+H27*6%/2</f>
        <v>414</v>
      </c>
    </row>
    <row r="70" spans="1:8" ht="30.75" thickBot="1">
      <c r="A70" s="15">
        <v>18</v>
      </c>
      <c r="B70" s="16" t="s">
        <v>76</v>
      </c>
      <c r="C70" s="54"/>
      <c r="D70" s="43">
        <f>+D28-D68-D69</f>
        <v>1843008.419999999</v>
      </c>
      <c r="E70" s="43">
        <f>+E28-E68-E69</f>
        <v>742035.4099999997</v>
      </c>
      <c r="F70" s="43">
        <f>+F28-F68-F69</f>
        <v>172535.40999999968</v>
      </c>
      <c r="G70" s="43">
        <f>+G28-G68-G69</f>
        <v>33318.799999999814</v>
      </c>
      <c r="H70" s="43">
        <f>+H28-H68-H69</f>
        <v>895118.7999999998</v>
      </c>
    </row>
    <row r="71" spans="1:8" ht="15.75" thickBot="1">
      <c r="A71" s="17">
        <v>19</v>
      </c>
      <c r="B71" s="18" t="s">
        <v>23</v>
      </c>
      <c r="C71" s="55"/>
      <c r="D71" s="44">
        <f>SUM(E71:H71)</f>
        <v>1843008.419999999</v>
      </c>
      <c r="E71" s="45">
        <f>SUM(E72:E73)</f>
        <v>742035.4099999997</v>
      </c>
      <c r="F71" s="45">
        <f>SUM(F72:F73)</f>
        <v>172535.40999999968</v>
      </c>
      <c r="G71" s="45">
        <f>SUM(G72:G73)</f>
        <v>33318.799999999814</v>
      </c>
      <c r="H71" s="45">
        <f>SUM(H72:H73)</f>
        <v>895118.7999999998</v>
      </c>
    </row>
    <row r="72" spans="1:8" ht="15.75" thickBot="1">
      <c r="A72" s="6">
        <v>19.1</v>
      </c>
      <c r="B72" s="19" t="s">
        <v>77</v>
      </c>
      <c r="C72" s="56"/>
      <c r="D72" s="26">
        <f>SUM(E72:H72)</f>
        <v>111580.64399999916</v>
      </c>
      <c r="E72" s="28">
        <f>+E70-E73</f>
        <v>309178.4659999997</v>
      </c>
      <c r="F72" s="28">
        <f>+F70-F73</f>
        <v>-260321.53400000028</v>
      </c>
      <c r="G72" s="28">
        <f>+G70-G73</f>
        <v>-399538.14400000015</v>
      </c>
      <c r="H72" s="28">
        <f>+H70-H73</f>
        <v>462261.85599999985</v>
      </c>
    </row>
    <row r="73" spans="1:8" ht="15.75" thickBot="1">
      <c r="A73" s="20">
        <v>19.2</v>
      </c>
      <c r="B73" s="21" t="s">
        <v>69</v>
      </c>
      <c r="C73" s="57"/>
      <c r="D73" s="26">
        <f>SUM(E73:H73)</f>
        <v>1731427.7759999998</v>
      </c>
      <c r="E73" s="29">
        <f>+E22</f>
        <v>432856.94399999996</v>
      </c>
      <c r="F73" s="29">
        <f>+F22</f>
        <v>432856.94399999996</v>
      </c>
      <c r="G73" s="29">
        <f>+G22</f>
        <v>432856.94399999996</v>
      </c>
      <c r="H73" s="29">
        <f>+H22</f>
        <v>432856.94399999996</v>
      </c>
    </row>
    <row r="74" spans="1:8" ht="15.75" thickTop="1">
      <c r="A74" s="1"/>
      <c r="B74" s="112"/>
      <c r="C74" s="112"/>
      <c r="D74" s="112"/>
      <c r="E74" s="112"/>
      <c r="F74" s="112"/>
      <c r="G74" s="112"/>
      <c r="H74" s="112"/>
    </row>
    <row r="75" spans="1:8" ht="15">
      <c r="A75" s="1"/>
      <c r="B75" s="113"/>
      <c r="C75" s="113"/>
      <c r="D75" s="113"/>
      <c r="E75" s="113"/>
      <c r="F75" s="113"/>
      <c r="G75" s="113"/>
      <c r="H75" s="113"/>
    </row>
    <row r="76" spans="1:8" ht="15">
      <c r="A76" s="1"/>
      <c r="B76" s="22"/>
      <c r="C76" s="22"/>
      <c r="D76" s="3"/>
      <c r="E76" s="3"/>
      <c r="F76" s="3"/>
      <c r="G76" s="3"/>
      <c r="H76" s="3"/>
    </row>
    <row r="77" spans="1:8" ht="15">
      <c r="A77" s="1"/>
      <c r="B77" s="3"/>
      <c r="C77" s="3"/>
      <c r="D77" s="1"/>
      <c r="E77" s="3"/>
      <c r="F77" s="3"/>
      <c r="G77" s="3"/>
      <c r="H77" s="3"/>
    </row>
    <row r="78" spans="1:8" ht="15">
      <c r="A78" s="3"/>
      <c r="B78" s="3"/>
      <c r="C78" s="3"/>
      <c r="D78" s="3"/>
      <c r="E78" s="3"/>
      <c r="F78" s="3"/>
      <c r="G78" s="3"/>
      <c r="H78" s="3"/>
    </row>
    <row r="79" spans="1:2" ht="15.75">
      <c r="A79" s="2"/>
      <c r="B79" s="78"/>
    </row>
    <row r="80" ht="12.75">
      <c r="B80" s="78"/>
    </row>
    <row r="81" ht="12.75">
      <c r="B81" s="79"/>
    </row>
  </sheetData>
  <sheetProtection/>
  <mergeCells count="12">
    <mergeCell ref="B74:H74"/>
    <mergeCell ref="B75:H75"/>
    <mergeCell ref="A1:H1"/>
    <mergeCell ref="A2:H2"/>
    <mergeCell ref="A3:H3"/>
    <mergeCell ref="A4:H4"/>
    <mergeCell ref="A5:H5"/>
    <mergeCell ref="A7:A8"/>
    <mergeCell ref="B7:B8"/>
    <mergeCell ref="C7:C8"/>
    <mergeCell ref="D7:D8"/>
    <mergeCell ref="E7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10.125" style="0" customWidth="1"/>
    <col min="2" max="2" width="47.625" style="0" customWidth="1"/>
    <col min="3" max="3" width="17.75390625" style="0" customWidth="1"/>
    <col min="4" max="4" width="14.375" style="0" customWidth="1"/>
    <col min="5" max="5" width="12.375" style="0" customWidth="1"/>
    <col min="6" max="6" width="11.625" style="0" customWidth="1"/>
    <col min="7" max="7" width="12.125" style="0" customWidth="1"/>
    <col min="8" max="8" width="11.375" style="0" customWidth="1"/>
    <col min="9" max="9" width="9.125" style="0" bestFit="1" customWidth="1"/>
  </cols>
  <sheetData>
    <row r="1" spans="1:8" ht="14.25">
      <c r="A1" s="120" t="s">
        <v>0</v>
      </c>
      <c r="B1" s="120"/>
      <c r="C1" s="120"/>
      <c r="D1" s="120"/>
      <c r="E1" s="120"/>
      <c r="F1" s="120"/>
      <c r="G1" s="120"/>
      <c r="H1" s="120"/>
    </row>
    <row r="2" spans="1:8" ht="15">
      <c r="A2" s="121" t="s">
        <v>90</v>
      </c>
      <c r="B2" s="121"/>
      <c r="C2" s="121"/>
      <c r="D2" s="121"/>
      <c r="E2" s="121"/>
      <c r="F2" s="121"/>
      <c r="G2" s="121"/>
      <c r="H2" s="121"/>
    </row>
    <row r="3" spans="1:8" ht="15">
      <c r="A3" s="121" t="s">
        <v>150</v>
      </c>
      <c r="B3" s="121"/>
      <c r="C3" s="121"/>
      <c r="D3" s="121"/>
      <c r="E3" s="121"/>
      <c r="F3" s="121"/>
      <c r="G3" s="121"/>
      <c r="H3" s="121"/>
    </row>
    <row r="4" spans="1:8" ht="15">
      <c r="A4" s="121" t="s">
        <v>24</v>
      </c>
      <c r="B4" s="121"/>
      <c r="C4" s="121"/>
      <c r="D4" s="121"/>
      <c r="E4" s="121"/>
      <c r="F4" s="121"/>
      <c r="G4" s="121"/>
      <c r="H4" s="121"/>
    </row>
    <row r="5" spans="1:8" ht="15">
      <c r="A5" s="1"/>
      <c r="B5" s="1" t="s">
        <v>148</v>
      </c>
      <c r="C5" s="1"/>
      <c r="D5" s="1"/>
      <c r="E5" s="1"/>
      <c r="F5" s="1"/>
      <c r="G5" s="1"/>
      <c r="H5" s="1"/>
    </row>
    <row r="6" spans="1:8" ht="15">
      <c r="A6" s="1"/>
      <c r="B6" s="1" t="s">
        <v>149</v>
      </c>
      <c r="C6" s="1"/>
      <c r="D6" s="1"/>
      <c r="E6" s="1"/>
      <c r="F6" s="1"/>
      <c r="G6" s="1"/>
      <c r="H6" s="1"/>
    </row>
    <row r="7" spans="1:8" ht="15.75" thickBot="1">
      <c r="A7" s="3"/>
      <c r="B7" s="3" t="s">
        <v>147</v>
      </c>
      <c r="C7" s="3"/>
      <c r="D7" s="3"/>
      <c r="E7" s="3"/>
      <c r="F7" s="3"/>
      <c r="G7" s="3"/>
      <c r="H7" s="3"/>
    </row>
    <row r="8" spans="1:8" ht="29.25" customHeight="1" thickBot="1">
      <c r="A8" s="135" t="s">
        <v>1</v>
      </c>
      <c r="B8" s="136" t="s">
        <v>2</v>
      </c>
      <c r="C8" s="137" t="s">
        <v>3</v>
      </c>
      <c r="D8" s="136" t="s">
        <v>4</v>
      </c>
      <c r="E8" s="138" t="s">
        <v>5</v>
      </c>
      <c r="F8" s="139"/>
      <c r="G8" s="139"/>
      <c r="H8" s="140"/>
    </row>
    <row r="9" spans="1:8" ht="15.75" thickBot="1">
      <c r="A9" s="141"/>
      <c r="B9" s="117"/>
      <c r="C9" s="119"/>
      <c r="D9" s="117"/>
      <c r="E9" s="4" t="s">
        <v>6</v>
      </c>
      <c r="F9" s="4" t="s">
        <v>7</v>
      </c>
      <c r="G9" s="4" t="s">
        <v>8</v>
      </c>
      <c r="H9" s="4" t="s">
        <v>9</v>
      </c>
    </row>
    <row r="10" spans="1:8" ht="16.5" thickBot="1" thickTop="1">
      <c r="A10" s="142"/>
      <c r="B10" s="7">
        <v>2</v>
      </c>
      <c r="C10" s="4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15.75" thickBot="1">
      <c r="A11" s="142"/>
      <c r="B11" s="23" t="s">
        <v>25</v>
      </c>
      <c r="C11" s="49"/>
      <c r="D11" s="7"/>
      <c r="E11" s="7"/>
      <c r="F11" s="7"/>
      <c r="G11" s="7"/>
      <c r="H11" s="7"/>
    </row>
    <row r="12" spans="1:8" ht="15.75" thickBot="1">
      <c r="A12" s="143">
        <v>1</v>
      </c>
      <c r="B12" s="99" t="s">
        <v>145</v>
      </c>
      <c r="C12" s="100"/>
      <c r="D12" s="101">
        <f>SUM(D18,D17,D16,D15,D14)</f>
        <v>5854138.1</v>
      </c>
      <c r="E12" s="101">
        <f>SUM(E18,E17,E16,E15,E14)</f>
        <v>1441613.51</v>
      </c>
      <c r="F12" s="101">
        <f>SUM(F18,F17,F16,F15,F14)</f>
        <v>1441613.51</v>
      </c>
      <c r="G12" s="101">
        <f>SUM(G18,G17,G16,G15,G14)</f>
        <v>1485455.54</v>
      </c>
      <c r="H12" s="101">
        <f>SUM(H18,H17,H16,H15,H14)</f>
        <v>1485455.54</v>
      </c>
    </row>
    <row r="13" spans="1:8" ht="15.75" thickBot="1">
      <c r="A13" s="142"/>
      <c r="B13" s="12" t="s">
        <v>12</v>
      </c>
      <c r="C13" s="49"/>
      <c r="D13" s="7"/>
      <c r="E13" s="7"/>
      <c r="F13" s="7"/>
      <c r="G13" s="7"/>
      <c r="H13" s="7"/>
    </row>
    <row r="14" spans="1:8" ht="16.5" thickBot="1">
      <c r="A14" s="142"/>
      <c r="B14" s="105" t="s">
        <v>135</v>
      </c>
      <c r="C14" s="126" t="s">
        <v>137</v>
      </c>
      <c r="D14" s="7">
        <f>SUM(E14,F14,G14,H14)</f>
        <v>1499043.1</v>
      </c>
      <c r="E14" s="7">
        <v>369207.46</v>
      </c>
      <c r="F14" s="7">
        <v>369207.46</v>
      </c>
      <c r="G14" s="7">
        <v>380314.09</v>
      </c>
      <c r="H14" s="7">
        <v>380314.09</v>
      </c>
    </row>
    <row r="15" spans="1:8" ht="16.5" thickBot="1">
      <c r="A15" s="142"/>
      <c r="B15" s="105" t="s">
        <v>138</v>
      </c>
      <c r="C15" s="126" t="s">
        <v>136</v>
      </c>
      <c r="D15" s="7">
        <f>SUM(E15,F15,G15,H15)</f>
        <v>1187490.96</v>
      </c>
      <c r="E15" s="7">
        <v>292482.19</v>
      </c>
      <c r="F15" s="7">
        <v>292482.19</v>
      </c>
      <c r="G15" s="7">
        <v>301263.29</v>
      </c>
      <c r="H15" s="7">
        <v>301263.29</v>
      </c>
    </row>
    <row r="16" spans="1:8" ht="16.5" thickBot="1">
      <c r="A16" s="142"/>
      <c r="B16" s="105" t="s">
        <v>140</v>
      </c>
      <c r="C16" s="126" t="s">
        <v>139</v>
      </c>
      <c r="D16" s="7">
        <f>SUM(E16,F16,G16,H16)</f>
        <v>3080121.4</v>
      </c>
      <c r="E16" s="7">
        <v>758650.57</v>
      </c>
      <c r="F16" s="7">
        <v>758650.57</v>
      </c>
      <c r="G16" s="7">
        <v>781410.13</v>
      </c>
      <c r="H16" s="7">
        <v>781410.13</v>
      </c>
    </row>
    <row r="17" spans="1:8" ht="16.5" thickBot="1">
      <c r="A17" s="142"/>
      <c r="B17" s="105" t="s">
        <v>142</v>
      </c>
      <c r="C17" s="126" t="s">
        <v>141</v>
      </c>
      <c r="D17" s="7">
        <f>SUM(E17,F17,G17,H17)</f>
        <v>74477.52</v>
      </c>
      <c r="E17" s="7">
        <v>18107.57</v>
      </c>
      <c r="F17" s="7">
        <v>18107.57</v>
      </c>
      <c r="G17" s="7">
        <v>19131.19</v>
      </c>
      <c r="H17" s="7">
        <v>19131.19</v>
      </c>
    </row>
    <row r="18" spans="1:8" ht="16.5" thickBot="1">
      <c r="A18" s="142"/>
      <c r="B18" s="9" t="s">
        <v>143</v>
      </c>
      <c r="C18" s="127" t="s">
        <v>144</v>
      </c>
      <c r="D18" s="7">
        <f>SUM(E18,F18,G18,H18)</f>
        <v>13005.119999999999</v>
      </c>
      <c r="E18" s="9">
        <v>3165.72</v>
      </c>
      <c r="F18" s="9">
        <v>3165.72</v>
      </c>
      <c r="G18" s="9">
        <v>3336.84</v>
      </c>
      <c r="H18" s="9">
        <v>3336.84</v>
      </c>
    </row>
    <row r="19" spans="1:8" ht="15.75" thickBot="1">
      <c r="A19" s="90"/>
      <c r="B19" s="19"/>
      <c r="C19" s="56"/>
      <c r="D19" s="91"/>
      <c r="E19" s="19"/>
      <c r="F19" s="19"/>
      <c r="G19" s="19"/>
      <c r="H19" s="19"/>
    </row>
    <row r="20" spans="1:11" ht="15.75" thickBot="1">
      <c r="A20" s="144">
        <v>2</v>
      </c>
      <c r="B20" s="99" t="s">
        <v>146</v>
      </c>
      <c r="C20" s="99"/>
      <c r="D20" s="102">
        <f>SUM(E20,F20,G20,H20)</f>
        <v>4391953.4</v>
      </c>
      <c r="E20" s="102">
        <f>SUM(E22,E23,E28,E29,E30,E31,E32,E33,E34)</f>
        <v>1054832.12</v>
      </c>
      <c r="F20" s="102">
        <f>SUM(F22,F23,F28,F29,F30,F31,F32,F33,F34)</f>
        <v>1077185.6800000002</v>
      </c>
      <c r="G20" s="102">
        <f>SUM(G22,G23,G28,G29,G30,G31,G32,G33,G34)</f>
        <v>1129967.8</v>
      </c>
      <c r="H20" s="102">
        <f>SUM(H22,H23,H28,H29,H30,H31,H32,H33,H34)</f>
        <v>1129967.8</v>
      </c>
      <c r="K20" s="83"/>
    </row>
    <row r="21" spans="1:8" ht="16.5" thickBot="1">
      <c r="A21" s="87"/>
      <c r="B21" s="12" t="s">
        <v>12</v>
      </c>
      <c r="C21" s="128"/>
      <c r="D21" s="9"/>
      <c r="E21" s="26"/>
      <c r="F21" s="26"/>
      <c r="G21" s="26"/>
      <c r="H21" s="26"/>
    </row>
    <row r="22" spans="1:8" ht="16.5" thickBot="1">
      <c r="A22" s="86"/>
      <c r="B22" s="9" t="s">
        <v>87</v>
      </c>
      <c r="C22" s="125" t="s">
        <v>183</v>
      </c>
      <c r="D22" s="94">
        <f>SUM(E22,F22,G22,H22)</f>
        <v>800257.4400000001</v>
      </c>
      <c r="E22" s="93">
        <v>177710.8</v>
      </c>
      <c r="F22" s="93">
        <v>200064.36</v>
      </c>
      <c r="G22" s="93">
        <v>211241.14</v>
      </c>
      <c r="H22" s="93">
        <v>211241.14</v>
      </c>
    </row>
    <row r="23" spans="1:8" ht="16.5" thickBot="1">
      <c r="A23" s="86"/>
      <c r="B23" s="9" t="s">
        <v>26</v>
      </c>
      <c r="C23" s="125" t="s">
        <v>151</v>
      </c>
      <c r="D23" s="94">
        <f>SUM(E23,F23,G23,H23)</f>
        <v>1736201.0000000002</v>
      </c>
      <c r="E23" s="93">
        <f>SUM(E27,E26,E25)</f>
        <v>431535.47000000003</v>
      </c>
      <c r="F23" s="93">
        <f>SUM(F27,F26,F25)</f>
        <v>431535.47000000003</v>
      </c>
      <c r="G23" s="93">
        <v>436565.03</v>
      </c>
      <c r="H23" s="93">
        <v>436565.03</v>
      </c>
    </row>
    <row r="24" spans="1:8" ht="16.5" thickBot="1">
      <c r="A24" s="86"/>
      <c r="B24" s="9" t="s">
        <v>12</v>
      </c>
      <c r="C24" s="125"/>
      <c r="D24" s="94"/>
      <c r="E24" s="93"/>
      <c r="F24" s="93"/>
      <c r="G24" s="93"/>
      <c r="H24" s="93"/>
    </row>
    <row r="25" spans="1:8" ht="16.5" thickBot="1">
      <c r="A25" s="145"/>
      <c r="B25" s="89" t="s">
        <v>152</v>
      </c>
      <c r="C25" s="129">
        <v>5.63</v>
      </c>
      <c r="D25" s="95"/>
      <c r="E25" s="95">
        <v>188775.81</v>
      </c>
      <c r="F25" s="95">
        <v>188775.81</v>
      </c>
      <c r="G25" s="95"/>
      <c r="H25" s="95"/>
    </row>
    <row r="26" spans="1:8" ht="16.5" thickBot="1">
      <c r="A26" s="145"/>
      <c r="B26" s="89" t="s">
        <v>153</v>
      </c>
      <c r="C26" s="129">
        <v>2.11</v>
      </c>
      <c r="D26" s="95"/>
      <c r="E26" s="95">
        <v>70749.02</v>
      </c>
      <c r="F26" s="95">
        <v>70749.02</v>
      </c>
      <c r="G26" s="95"/>
      <c r="H26" s="95"/>
    </row>
    <row r="27" spans="1:8" ht="16.5" thickBot="1">
      <c r="A27" s="145"/>
      <c r="B27" s="89" t="s">
        <v>154</v>
      </c>
      <c r="C27" s="129">
        <v>5.13</v>
      </c>
      <c r="D27" s="95"/>
      <c r="E27" s="95">
        <v>172010.64</v>
      </c>
      <c r="F27" s="95">
        <v>172010.64</v>
      </c>
      <c r="G27" s="95"/>
      <c r="H27" s="95"/>
    </row>
    <row r="28" spans="1:8" ht="16.5" thickBot="1">
      <c r="A28" s="86"/>
      <c r="B28" s="9" t="s">
        <v>27</v>
      </c>
      <c r="C28" s="125" t="s">
        <v>98</v>
      </c>
      <c r="D28" s="94">
        <f aca="true" t="shared" si="0" ref="D28:D37">SUM(E28,F28,G28,H28)</f>
        <v>266901.51999999996</v>
      </c>
      <c r="E28" s="93">
        <v>65719.47</v>
      </c>
      <c r="F28" s="93">
        <v>65719.47</v>
      </c>
      <c r="G28" s="93">
        <v>67731.29</v>
      </c>
      <c r="H28" s="93">
        <v>67731.29</v>
      </c>
    </row>
    <row r="29" spans="1:8" ht="16.5" thickBot="1">
      <c r="A29" s="86"/>
      <c r="B29" s="9" t="s">
        <v>155</v>
      </c>
      <c r="C29" s="125" t="s">
        <v>102</v>
      </c>
      <c r="D29" s="94">
        <f t="shared" si="0"/>
        <v>220629.64</v>
      </c>
      <c r="E29" s="93">
        <v>54319.15</v>
      </c>
      <c r="F29" s="93">
        <v>54319.15</v>
      </c>
      <c r="G29" s="93">
        <v>55995.67</v>
      </c>
      <c r="H29" s="93">
        <v>55995.67</v>
      </c>
    </row>
    <row r="30" spans="1:8" ht="16.5" thickBot="1">
      <c r="A30" s="86"/>
      <c r="B30" s="9" t="s">
        <v>156</v>
      </c>
      <c r="C30" s="125" t="s">
        <v>157</v>
      </c>
      <c r="D30" s="94">
        <f t="shared" si="0"/>
        <v>271521.66000000003</v>
      </c>
      <c r="E30" s="93">
        <v>53280.86</v>
      </c>
      <c r="F30" s="93">
        <v>53280.86</v>
      </c>
      <c r="G30" s="93">
        <v>82479.97</v>
      </c>
      <c r="H30" s="93">
        <v>82479.97</v>
      </c>
    </row>
    <row r="31" spans="1:8" ht="16.5" thickBot="1">
      <c r="A31" s="85"/>
      <c r="B31" s="19" t="s">
        <v>158</v>
      </c>
      <c r="C31" s="125">
        <v>0.34</v>
      </c>
      <c r="D31" s="94">
        <f t="shared" si="0"/>
        <v>45601.28</v>
      </c>
      <c r="E31" s="93">
        <v>11400.32</v>
      </c>
      <c r="F31" s="93">
        <v>11400.32</v>
      </c>
      <c r="G31" s="93">
        <v>11400.32</v>
      </c>
      <c r="H31" s="93">
        <v>11400.32</v>
      </c>
    </row>
    <row r="32" spans="1:8" ht="16.5" thickBot="1">
      <c r="A32" s="86"/>
      <c r="B32" s="9" t="s">
        <v>159</v>
      </c>
      <c r="C32" s="125" t="s">
        <v>160</v>
      </c>
      <c r="D32" s="94">
        <f t="shared" si="0"/>
        <v>113332.54000000001</v>
      </c>
      <c r="E32" s="93">
        <v>26824.27</v>
      </c>
      <c r="F32" s="93">
        <v>26824.27</v>
      </c>
      <c r="G32" s="93">
        <v>29842</v>
      </c>
      <c r="H32" s="93">
        <v>29842</v>
      </c>
    </row>
    <row r="33" spans="1:8" ht="16.5" thickBot="1">
      <c r="A33" s="86"/>
      <c r="B33" s="9" t="s">
        <v>13</v>
      </c>
      <c r="C33" s="125" t="s">
        <v>103</v>
      </c>
      <c r="D33" s="94">
        <f t="shared" si="0"/>
        <v>847647</v>
      </c>
      <c r="E33" s="93">
        <v>211576.45</v>
      </c>
      <c r="F33" s="93">
        <v>211576.45</v>
      </c>
      <c r="G33" s="93">
        <v>212247.05</v>
      </c>
      <c r="H33" s="93">
        <v>212247.05</v>
      </c>
    </row>
    <row r="34" spans="1:8" ht="16.5" thickBot="1">
      <c r="A34" s="86"/>
      <c r="B34" s="9" t="s">
        <v>32</v>
      </c>
      <c r="C34" s="125">
        <v>0.67</v>
      </c>
      <c r="D34" s="94">
        <f t="shared" si="0"/>
        <v>89861.32</v>
      </c>
      <c r="E34" s="93">
        <v>22465.33</v>
      </c>
      <c r="F34" s="93">
        <v>22465.33</v>
      </c>
      <c r="G34" s="93">
        <v>22465.33</v>
      </c>
      <c r="H34" s="93">
        <v>22465.33</v>
      </c>
    </row>
    <row r="35" spans="1:8" ht="15.75" thickBot="1">
      <c r="A35" s="103" t="s">
        <v>161</v>
      </c>
      <c r="B35" s="88" t="s">
        <v>162</v>
      </c>
      <c r="C35" s="106"/>
      <c r="D35" s="102">
        <f t="shared" si="0"/>
        <v>338676</v>
      </c>
      <c r="E35" s="102">
        <f>SUM(E36,E37)</f>
        <v>84669</v>
      </c>
      <c r="F35" s="102">
        <f>SUM(F36,F37)</f>
        <v>84669</v>
      </c>
      <c r="G35" s="102">
        <f>SUM(G36,G37)</f>
        <v>84669</v>
      </c>
      <c r="H35" s="102">
        <f>SUM(H36,H37)</f>
        <v>84669</v>
      </c>
    </row>
    <row r="36" spans="1:8" ht="16.5" thickBot="1">
      <c r="A36" s="86"/>
      <c r="B36" s="9" t="s">
        <v>167</v>
      </c>
      <c r="C36" s="125">
        <v>97.5</v>
      </c>
      <c r="D36" s="94">
        <f t="shared" si="0"/>
        <v>198900</v>
      </c>
      <c r="E36" s="93">
        <v>49725</v>
      </c>
      <c r="F36" s="93">
        <v>49725</v>
      </c>
      <c r="G36" s="93">
        <v>49725</v>
      </c>
      <c r="H36" s="93">
        <v>49725</v>
      </c>
    </row>
    <row r="37" spans="1:8" ht="16.5" thickBot="1">
      <c r="A37" s="85"/>
      <c r="B37" s="19" t="s">
        <v>168</v>
      </c>
      <c r="C37" s="125">
        <v>56</v>
      </c>
      <c r="D37" s="94">
        <f t="shared" si="0"/>
        <v>139776</v>
      </c>
      <c r="E37" s="93">
        <v>34944</v>
      </c>
      <c r="F37" s="93">
        <v>34944</v>
      </c>
      <c r="G37" s="93">
        <v>34944</v>
      </c>
      <c r="H37" s="93">
        <v>34944</v>
      </c>
    </row>
    <row r="38" spans="1:8" ht="16.5" thickBot="1">
      <c r="A38" s="85"/>
      <c r="B38" s="92" t="s">
        <v>165</v>
      </c>
      <c r="C38" s="130"/>
      <c r="D38" s="96">
        <f>SUM(D12,D20,D35)</f>
        <v>10584767.5</v>
      </c>
      <c r="E38" s="97">
        <f>SUM(E12,E20,E35)</f>
        <v>2581114.63</v>
      </c>
      <c r="F38" s="97">
        <f>SUM(F12,F20,F35)</f>
        <v>2603468.1900000004</v>
      </c>
      <c r="G38" s="97">
        <f>SUM(G12,G20,G35)</f>
        <v>2700092.34</v>
      </c>
      <c r="H38" s="97">
        <f>SUM(H12,H20,H35)</f>
        <v>2700092.34</v>
      </c>
    </row>
    <row r="39" spans="1:8" ht="16.5" thickBot="1">
      <c r="A39" s="87">
        <v>4</v>
      </c>
      <c r="B39" s="9" t="s">
        <v>163</v>
      </c>
      <c r="C39" s="131">
        <v>0.02</v>
      </c>
      <c r="D39" s="96">
        <f>SUM(E39,F39,G39,H39)</f>
        <v>214190.88</v>
      </c>
      <c r="E39" s="93">
        <v>52675.81</v>
      </c>
      <c r="F39" s="93">
        <v>52675.81</v>
      </c>
      <c r="G39" s="93">
        <v>54419.63</v>
      </c>
      <c r="H39" s="93">
        <v>54419.63</v>
      </c>
    </row>
    <row r="40" spans="1:9" ht="16.5" thickBot="1">
      <c r="A40" s="87">
        <v>5</v>
      </c>
      <c r="B40" s="9" t="s">
        <v>164</v>
      </c>
      <c r="C40" s="127"/>
      <c r="D40" s="93">
        <f>SUM(E40,F40,G40,H40)</f>
        <v>192000</v>
      </c>
      <c r="E40" s="93">
        <v>48000</v>
      </c>
      <c r="F40" s="93">
        <v>48000</v>
      </c>
      <c r="G40" s="93">
        <v>48000</v>
      </c>
      <c r="H40" s="93">
        <v>48000</v>
      </c>
      <c r="I40" s="47"/>
    </row>
    <row r="41" spans="1:9" ht="16.5" thickBot="1">
      <c r="A41" s="146"/>
      <c r="B41" s="40" t="s">
        <v>166</v>
      </c>
      <c r="C41" s="59"/>
      <c r="D41" s="132">
        <f>SUM(D38:D40)</f>
        <v>10990958.38</v>
      </c>
      <c r="E41" s="98">
        <f>SUM(E38:E40)</f>
        <v>2681790.44</v>
      </c>
      <c r="F41" s="98">
        <f>SUM(F38:F40)</f>
        <v>2704144.0000000005</v>
      </c>
      <c r="G41" s="98">
        <f>SUM(G38:G40)</f>
        <v>2802511.9699999997</v>
      </c>
      <c r="H41" s="98">
        <f>SUM(H38:H40)</f>
        <v>2802511.9699999997</v>
      </c>
      <c r="I41" s="47"/>
    </row>
    <row r="42" spans="1:9" ht="15.75" thickBot="1">
      <c r="A42" s="142"/>
      <c r="B42" s="12" t="s">
        <v>10</v>
      </c>
      <c r="C42" s="51"/>
      <c r="D42" s="9"/>
      <c r="E42" s="26"/>
      <c r="F42" s="26"/>
      <c r="G42" s="26"/>
      <c r="H42" s="26"/>
      <c r="I42" s="47"/>
    </row>
    <row r="43" spans="1:8" ht="15.75" thickBot="1">
      <c r="A43" s="142"/>
      <c r="B43" s="23" t="s">
        <v>35</v>
      </c>
      <c r="C43" s="49"/>
      <c r="D43" s="9"/>
      <c r="E43" s="26"/>
      <c r="F43" s="26"/>
      <c r="G43" s="26"/>
      <c r="H43" s="26"/>
    </row>
    <row r="44" spans="1:8" ht="15.75" thickBot="1">
      <c r="A44" s="142"/>
      <c r="B44" s="84" t="s">
        <v>169</v>
      </c>
      <c r="C44" s="49"/>
      <c r="D44" s="9"/>
      <c r="E44" s="93"/>
      <c r="F44" s="93"/>
      <c r="G44" s="93"/>
      <c r="H44" s="93"/>
    </row>
    <row r="45" spans="1:8" ht="15.75" thickBot="1">
      <c r="A45" s="142"/>
      <c r="B45" s="105" t="s">
        <v>170</v>
      </c>
      <c r="C45" s="48"/>
      <c r="D45" s="9">
        <v>1499043.1</v>
      </c>
      <c r="E45" s="93">
        <v>369207.46</v>
      </c>
      <c r="F45" s="93">
        <v>369207.46</v>
      </c>
      <c r="G45" s="93">
        <v>380314.09</v>
      </c>
      <c r="H45" s="93">
        <v>380314.09</v>
      </c>
    </row>
    <row r="46" spans="1:8" ht="15.75" thickBot="1">
      <c r="A46" s="142"/>
      <c r="B46" s="105" t="s">
        <v>171</v>
      </c>
      <c r="C46" s="48"/>
      <c r="D46" s="9">
        <f>SUM(E46,F46,G46,H46)</f>
        <v>4267612.359999999</v>
      </c>
      <c r="E46" s="93">
        <v>1051132.76</v>
      </c>
      <c r="F46" s="93">
        <v>1051132.76</v>
      </c>
      <c r="G46" s="93">
        <v>1082673.42</v>
      </c>
      <c r="H46" s="93">
        <v>1082673.42</v>
      </c>
    </row>
    <row r="47" spans="1:8" ht="15.75" thickBot="1">
      <c r="A47" s="142"/>
      <c r="B47" s="105" t="s">
        <v>172</v>
      </c>
      <c r="C47" s="48"/>
      <c r="D47" s="9">
        <f>SUM(E47,F47,G47,H47)</f>
        <v>87482.64</v>
      </c>
      <c r="E47" s="93">
        <v>21273.29</v>
      </c>
      <c r="F47" s="93">
        <v>21273.29</v>
      </c>
      <c r="G47" s="93">
        <v>22468.03</v>
      </c>
      <c r="H47" s="93">
        <v>22468.03</v>
      </c>
    </row>
    <row r="48" spans="1:8" ht="15.75" thickBot="1">
      <c r="A48" s="147"/>
      <c r="B48" s="31" t="s">
        <v>15</v>
      </c>
      <c r="C48" s="60"/>
      <c r="D48" s="32">
        <f aca="true" t="shared" si="1" ref="D48:D79">SUM(E48:H48)</f>
        <v>1005160</v>
      </c>
      <c r="E48" s="32">
        <f>SUM(E49:E50)</f>
        <v>251290</v>
      </c>
      <c r="F48" s="32">
        <f>SUM(F49:F50)</f>
        <v>251290</v>
      </c>
      <c r="G48" s="32">
        <f>SUM(G49:G50)</f>
        <v>251290</v>
      </c>
      <c r="H48" s="32">
        <f>SUM(H49:H50)</f>
        <v>251290</v>
      </c>
    </row>
    <row r="49" spans="1:8" ht="15.75" thickBot="1">
      <c r="A49" s="142"/>
      <c r="B49" s="9" t="s">
        <v>16</v>
      </c>
      <c r="C49" s="50"/>
      <c r="D49" s="26">
        <f t="shared" si="1"/>
        <v>772012</v>
      </c>
      <c r="E49" s="26">
        <v>193003</v>
      </c>
      <c r="F49" s="26">
        <v>193003</v>
      </c>
      <c r="G49" s="26">
        <v>193003</v>
      </c>
      <c r="H49" s="26">
        <v>193003</v>
      </c>
    </row>
    <row r="50" spans="1:8" ht="15.75" thickBot="1">
      <c r="A50" s="87"/>
      <c r="B50" s="12" t="s">
        <v>39</v>
      </c>
      <c r="C50" s="51"/>
      <c r="D50" s="26">
        <f t="shared" si="1"/>
        <v>233148</v>
      </c>
      <c r="E50" s="26">
        <v>58287</v>
      </c>
      <c r="F50" s="26">
        <v>58287</v>
      </c>
      <c r="G50" s="26">
        <v>58287</v>
      </c>
      <c r="H50" s="26">
        <v>58287</v>
      </c>
    </row>
    <row r="51" spans="1:8" ht="15.75" thickBot="1">
      <c r="A51" s="147"/>
      <c r="B51" s="31" t="s">
        <v>173</v>
      </c>
      <c r="C51" s="60"/>
      <c r="D51" s="32">
        <f t="shared" si="1"/>
        <v>2305236</v>
      </c>
      <c r="E51" s="32">
        <f>SUM(E53,E54,E55,E56)</f>
        <v>573859</v>
      </c>
      <c r="F51" s="32">
        <f>SUM(F53,F54,F55,F56)</f>
        <v>578759</v>
      </c>
      <c r="G51" s="32">
        <f>SUM(G53,G54,G55,G56)</f>
        <v>578759</v>
      </c>
      <c r="H51" s="32">
        <f>SUM(H53,H54,H55,H56)</f>
        <v>573859</v>
      </c>
    </row>
    <row r="52" spans="1:8" ht="15.75" thickBot="1">
      <c r="A52" s="147"/>
      <c r="B52" s="31" t="s">
        <v>174</v>
      </c>
      <c r="C52" s="104"/>
      <c r="D52" s="32"/>
      <c r="E52" s="32"/>
      <c r="F52" s="32"/>
      <c r="G52" s="32"/>
      <c r="H52" s="32"/>
    </row>
    <row r="53" spans="1:8" ht="15.75" thickBot="1">
      <c r="A53" s="142"/>
      <c r="B53" s="9" t="s">
        <v>16</v>
      </c>
      <c r="C53" s="50"/>
      <c r="D53" s="26">
        <f t="shared" si="1"/>
        <v>1139536</v>
      </c>
      <c r="E53" s="26">
        <v>284884</v>
      </c>
      <c r="F53" s="26">
        <v>284884</v>
      </c>
      <c r="G53" s="26">
        <v>284884</v>
      </c>
      <c r="H53" s="26">
        <v>284884</v>
      </c>
    </row>
    <row r="54" spans="1:8" ht="15.75" thickBot="1">
      <c r="A54" s="87"/>
      <c r="B54" s="12" t="s">
        <v>39</v>
      </c>
      <c r="C54" s="51"/>
      <c r="D54" s="26">
        <f t="shared" si="1"/>
        <v>344140</v>
      </c>
      <c r="E54" s="26">
        <v>86035</v>
      </c>
      <c r="F54" s="26">
        <v>86035</v>
      </c>
      <c r="G54" s="26">
        <v>86035</v>
      </c>
      <c r="H54" s="26">
        <v>86035</v>
      </c>
    </row>
    <row r="55" spans="1:8" ht="15.75" thickBot="1">
      <c r="A55" s="142"/>
      <c r="B55" s="9" t="s">
        <v>40</v>
      </c>
      <c r="C55" s="50"/>
      <c r="D55" s="26">
        <f t="shared" si="1"/>
        <v>86100</v>
      </c>
      <c r="E55" s="26">
        <v>21525</v>
      </c>
      <c r="F55" s="26">
        <v>21525</v>
      </c>
      <c r="G55" s="26">
        <v>21525</v>
      </c>
      <c r="H55" s="26">
        <v>21525</v>
      </c>
    </row>
    <row r="56" spans="1:8" ht="15.75" thickBot="1">
      <c r="A56" s="142"/>
      <c r="B56" s="9" t="s">
        <v>18</v>
      </c>
      <c r="C56" s="50"/>
      <c r="D56" s="26">
        <f t="shared" si="1"/>
        <v>735460</v>
      </c>
      <c r="E56" s="26">
        <f>SUM(E58,E59,E60,E61,E62,E63,E64,E65,E66)</f>
        <v>181415</v>
      </c>
      <c r="F56" s="26">
        <f>SUM(F58,F59,F60,F61,F62,F63,F64,F65,F66)</f>
        <v>186315</v>
      </c>
      <c r="G56" s="26">
        <f>SUM(G58,G59,G60,G61,G62,G63,G64,G65,G66)</f>
        <v>186315</v>
      </c>
      <c r="H56" s="26">
        <f>SUM(H58,H59,H60,H61,H62,H63,H64,H65,H66)</f>
        <v>181415</v>
      </c>
    </row>
    <row r="57" spans="1:8" ht="15.75" thickBot="1">
      <c r="A57" s="142"/>
      <c r="B57" s="9" t="s">
        <v>19</v>
      </c>
      <c r="C57" s="50"/>
      <c r="D57" s="26"/>
      <c r="E57" s="26"/>
      <c r="F57" s="26"/>
      <c r="G57" s="26"/>
      <c r="H57" s="26"/>
    </row>
    <row r="58" spans="1:8" ht="15.75" thickBot="1">
      <c r="A58" s="148"/>
      <c r="B58" s="9" t="s">
        <v>20</v>
      </c>
      <c r="C58" s="50"/>
      <c r="D58" s="62">
        <f t="shared" si="1"/>
        <v>10996</v>
      </c>
      <c r="E58" s="26">
        <v>2749</v>
      </c>
      <c r="F58" s="26">
        <v>2749</v>
      </c>
      <c r="G58" s="62">
        <v>2749</v>
      </c>
      <c r="H58" s="62">
        <v>2749</v>
      </c>
    </row>
    <row r="59" spans="1:8" ht="15.75" thickBot="1">
      <c r="A59" s="148"/>
      <c r="B59" s="9" t="s">
        <v>127</v>
      </c>
      <c r="C59" s="50"/>
      <c r="D59" s="62">
        <f t="shared" si="1"/>
        <v>239232</v>
      </c>
      <c r="E59" s="26">
        <v>59808</v>
      </c>
      <c r="F59" s="26">
        <v>59808</v>
      </c>
      <c r="G59" s="62">
        <v>59808</v>
      </c>
      <c r="H59" s="62">
        <v>59808</v>
      </c>
    </row>
    <row r="60" spans="1:8" ht="15.75" thickBot="1">
      <c r="A60" s="148"/>
      <c r="B60" s="9" t="s">
        <v>42</v>
      </c>
      <c r="C60" s="50"/>
      <c r="D60" s="62">
        <f t="shared" si="1"/>
        <v>43200</v>
      </c>
      <c r="E60" s="26">
        <v>10800</v>
      </c>
      <c r="F60" s="26">
        <v>10800</v>
      </c>
      <c r="G60" s="62">
        <v>10800</v>
      </c>
      <c r="H60" s="62">
        <v>10800</v>
      </c>
    </row>
    <row r="61" spans="1:8" ht="15.75" thickBot="1">
      <c r="A61" s="148"/>
      <c r="B61" s="9" t="s">
        <v>45</v>
      </c>
      <c r="C61" s="50"/>
      <c r="D61" s="62">
        <f t="shared" si="1"/>
        <v>331240</v>
      </c>
      <c r="E61" s="26">
        <v>82810</v>
      </c>
      <c r="F61" s="26">
        <v>82810</v>
      </c>
      <c r="G61" s="62">
        <v>82810</v>
      </c>
      <c r="H61" s="62">
        <v>82810</v>
      </c>
    </row>
    <row r="62" spans="1:8" ht="15.75" thickBot="1">
      <c r="A62" s="148"/>
      <c r="B62" s="9" t="s">
        <v>128</v>
      </c>
      <c r="C62" s="50"/>
      <c r="D62" s="62">
        <f>SUM(E62:H62)</f>
        <v>8100</v>
      </c>
      <c r="E62" s="26">
        <v>2025</v>
      </c>
      <c r="F62" s="26">
        <v>2025</v>
      </c>
      <c r="G62" s="62">
        <v>2025</v>
      </c>
      <c r="H62" s="62">
        <v>2025</v>
      </c>
    </row>
    <row r="63" spans="1:8" ht="15.75" thickBot="1">
      <c r="A63" s="148"/>
      <c r="B63" s="9" t="s">
        <v>130</v>
      </c>
      <c r="C63" s="50"/>
      <c r="D63" s="62">
        <f>SUM(E63:H63)</f>
        <v>9800</v>
      </c>
      <c r="E63" s="26"/>
      <c r="F63" s="26">
        <v>4900</v>
      </c>
      <c r="G63" s="62">
        <v>4900</v>
      </c>
      <c r="H63" s="62"/>
    </row>
    <row r="64" spans="1:8" ht="15.75" thickBot="1">
      <c r="A64" s="148"/>
      <c r="B64" s="9" t="s">
        <v>132</v>
      </c>
      <c r="C64" s="50"/>
      <c r="D64" s="62">
        <f>SUM(E64:H64)</f>
        <v>9052</v>
      </c>
      <c r="E64" s="26">
        <v>2263</v>
      </c>
      <c r="F64" s="26">
        <v>2263</v>
      </c>
      <c r="G64" s="62">
        <v>2263</v>
      </c>
      <c r="H64" s="62">
        <v>2263</v>
      </c>
    </row>
    <row r="65" spans="1:8" ht="15.75" thickBot="1">
      <c r="A65" s="148"/>
      <c r="B65" s="9" t="s">
        <v>37</v>
      </c>
      <c r="C65" s="50"/>
      <c r="D65" s="62">
        <f>SUM(E65:H65)</f>
        <v>71840</v>
      </c>
      <c r="E65" s="26">
        <v>17960</v>
      </c>
      <c r="F65" s="26">
        <v>17960</v>
      </c>
      <c r="G65" s="62">
        <v>17960</v>
      </c>
      <c r="H65" s="62">
        <v>17960</v>
      </c>
    </row>
    <row r="66" spans="1:8" ht="15.75" thickBot="1">
      <c r="A66" s="148"/>
      <c r="B66" s="9" t="s">
        <v>134</v>
      </c>
      <c r="C66" s="50"/>
      <c r="D66" s="62">
        <f t="shared" si="1"/>
        <v>12000</v>
      </c>
      <c r="E66" s="26">
        <v>3000</v>
      </c>
      <c r="F66" s="26">
        <v>3000</v>
      </c>
      <c r="G66" s="62">
        <v>3000</v>
      </c>
      <c r="H66" s="62">
        <v>3000</v>
      </c>
    </row>
    <row r="67" spans="1:8" ht="15.75" thickBot="1">
      <c r="A67" s="149"/>
      <c r="B67" s="31" t="s">
        <v>51</v>
      </c>
      <c r="C67" s="60"/>
      <c r="D67" s="32">
        <f t="shared" si="1"/>
        <v>114619</v>
      </c>
      <c r="E67" s="32">
        <f>SUM(E68:E70)</f>
        <v>25500</v>
      </c>
      <c r="F67" s="32">
        <f>SUM(F68:F70)</f>
        <v>27000</v>
      </c>
      <c r="G67" s="32">
        <f>SUM(G68:G70)</f>
        <v>36619</v>
      </c>
      <c r="H67" s="32">
        <f>SUM(H68:H70)</f>
        <v>25500</v>
      </c>
    </row>
    <row r="68" spans="1:8" ht="15.75" thickBot="1">
      <c r="A68" s="142"/>
      <c r="B68" s="9" t="s">
        <v>52</v>
      </c>
      <c r="C68" s="50"/>
      <c r="D68" s="26">
        <f t="shared" si="1"/>
        <v>102000</v>
      </c>
      <c r="E68" s="26">
        <v>25500</v>
      </c>
      <c r="F68" s="26">
        <v>25500</v>
      </c>
      <c r="G68" s="26">
        <v>25500</v>
      </c>
      <c r="H68" s="26">
        <v>25500</v>
      </c>
    </row>
    <row r="69" spans="1:8" ht="15.75" thickBot="1">
      <c r="A69" s="142"/>
      <c r="B69" s="9" t="s">
        <v>53</v>
      </c>
      <c r="C69" s="50"/>
      <c r="D69" s="26">
        <f t="shared" si="1"/>
        <v>1500</v>
      </c>
      <c r="E69" s="26"/>
      <c r="F69" s="26">
        <v>1500</v>
      </c>
      <c r="G69" s="62"/>
      <c r="H69" s="62"/>
    </row>
    <row r="70" spans="1:8" ht="15.75" thickBot="1">
      <c r="A70" s="142"/>
      <c r="B70" s="9" t="s">
        <v>54</v>
      </c>
      <c r="C70" s="50"/>
      <c r="D70" s="26">
        <f t="shared" si="1"/>
        <v>11119</v>
      </c>
      <c r="E70" s="26"/>
      <c r="F70" s="26"/>
      <c r="G70" s="26">
        <v>11119</v>
      </c>
      <c r="H70" s="26"/>
    </row>
    <row r="71" spans="1:8" ht="15.75" thickBot="1">
      <c r="A71" s="149"/>
      <c r="B71" s="31" t="s">
        <v>55</v>
      </c>
      <c r="C71" s="60"/>
      <c r="D71" s="32">
        <f t="shared" si="1"/>
        <v>45600</v>
      </c>
      <c r="E71" s="32">
        <v>11400</v>
      </c>
      <c r="F71" s="32">
        <v>11400</v>
      </c>
      <c r="G71" s="32">
        <v>11400</v>
      </c>
      <c r="H71" s="32">
        <v>11400</v>
      </c>
    </row>
    <row r="72" spans="1:8" ht="15.75" thickBot="1">
      <c r="A72" s="149"/>
      <c r="B72" s="31" t="s">
        <v>159</v>
      </c>
      <c r="C72" s="60"/>
      <c r="D72" s="32">
        <f t="shared" si="1"/>
        <v>113332.54000000001</v>
      </c>
      <c r="E72" s="32">
        <v>26824.27</v>
      </c>
      <c r="F72" s="32">
        <v>26824.27</v>
      </c>
      <c r="G72" s="32">
        <v>29842</v>
      </c>
      <c r="H72" s="32">
        <v>29842</v>
      </c>
    </row>
    <row r="73" spans="1:8" ht="15.75" thickBot="1">
      <c r="A73" s="149"/>
      <c r="B73" s="31" t="s">
        <v>58</v>
      </c>
      <c r="C73" s="60"/>
      <c r="D73" s="32">
        <f t="shared" si="1"/>
        <v>186186</v>
      </c>
      <c r="E73" s="32">
        <f>SUM(E74:E75)</f>
        <v>42966</v>
      </c>
      <c r="F73" s="32">
        <f>SUM(F74:F75)</f>
        <v>42966</v>
      </c>
      <c r="G73" s="32">
        <f>SUM(G74:G75)</f>
        <v>57288</v>
      </c>
      <c r="H73" s="32">
        <f>SUM(H74:H75)</f>
        <v>42966</v>
      </c>
    </row>
    <row r="74" spans="1:8" ht="15.75" thickBot="1">
      <c r="A74" s="142"/>
      <c r="B74" s="9" t="s">
        <v>16</v>
      </c>
      <c r="C74" s="50"/>
      <c r="D74" s="26">
        <f t="shared" si="1"/>
        <v>143000</v>
      </c>
      <c r="E74" s="26">
        <v>33000</v>
      </c>
      <c r="F74" s="26">
        <v>33000</v>
      </c>
      <c r="G74" s="26">
        <v>44000</v>
      </c>
      <c r="H74" s="26">
        <v>33000</v>
      </c>
    </row>
    <row r="75" spans="1:8" ht="15.75" thickBot="1">
      <c r="A75" s="142"/>
      <c r="B75" s="12" t="s">
        <v>39</v>
      </c>
      <c r="C75" s="62"/>
      <c r="D75" s="26">
        <f t="shared" si="1"/>
        <v>43186</v>
      </c>
      <c r="E75" s="26">
        <v>9966</v>
      </c>
      <c r="F75" s="26">
        <v>9966</v>
      </c>
      <c r="G75" s="26">
        <v>13288</v>
      </c>
      <c r="H75" s="26">
        <v>9966</v>
      </c>
    </row>
    <row r="76" spans="1:8" ht="15.75" thickBot="1">
      <c r="A76" s="147"/>
      <c r="B76" s="31" t="s">
        <v>60</v>
      </c>
      <c r="C76" s="60"/>
      <c r="D76" s="32">
        <f t="shared" si="1"/>
        <v>703238</v>
      </c>
      <c r="E76" s="32">
        <f>+E77</f>
        <v>100000</v>
      </c>
      <c r="F76" s="32">
        <f>+F77</f>
        <v>0</v>
      </c>
      <c r="G76" s="32">
        <f>+G77</f>
        <v>603238</v>
      </c>
      <c r="H76" s="32">
        <f>+H77</f>
        <v>0</v>
      </c>
    </row>
    <row r="77" spans="1:10" ht="15.75" thickBot="1">
      <c r="A77" s="142"/>
      <c r="B77" s="9" t="s">
        <v>61</v>
      </c>
      <c r="C77" s="50"/>
      <c r="D77" s="62">
        <f t="shared" si="1"/>
        <v>703238</v>
      </c>
      <c r="E77" s="26">
        <v>100000</v>
      </c>
      <c r="F77" s="26"/>
      <c r="G77" s="26">
        <v>603238</v>
      </c>
      <c r="H77" s="26"/>
      <c r="I77" s="46"/>
      <c r="J77" s="47"/>
    </row>
    <row r="78" spans="1:8" ht="15.75" thickBot="1">
      <c r="A78" s="147"/>
      <c r="B78" s="31" t="s">
        <v>62</v>
      </c>
      <c r="C78" s="60"/>
      <c r="D78" s="32">
        <f t="shared" si="1"/>
        <v>55516</v>
      </c>
      <c r="E78" s="32">
        <v>13879</v>
      </c>
      <c r="F78" s="32">
        <v>13879</v>
      </c>
      <c r="G78" s="32">
        <v>13879</v>
      </c>
      <c r="H78" s="32">
        <v>13879</v>
      </c>
    </row>
    <row r="79" spans="1:8" ht="15.75" thickBot="1">
      <c r="A79" s="147"/>
      <c r="B79" s="31" t="s">
        <v>167</v>
      </c>
      <c r="C79" s="60"/>
      <c r="D79" s="32">
        <f t="shared" si="1"/>
        <v>198900</v>
      </c>
      <c r="E79" s="32">
        <v>49725</v>
      </c>
      <c r="F79" s="32">
        <v>49725</v>
      </c>
      <c r="G79" s="32">
        <v>49725</v>
      </c>
      <c r="H79" s="32">
        <v>49725</v>
      </c>
    </row>
    <row r="80" spans="1:8" ht="15.75" thickBot="1">
      <c r="A80" s="147"/>
      <c r="B80" s="31" t="s">
        <v>168</v>
      </c>
      <c r="C80" s="60"/>
      <c r="D80" s="32">
        <f>SUM(E80:H80)</f>
        <v>139776</v>
      </c>
      <c r="E80" s="32">
        <v>34944</v>
      </c>
      <c r="F80" s="32">
        <v>34944</v>
      </c>
      <c r="G80" s="32">
        <v>34944</v>
      </c>
      <c r="H80" s="32">
        <v>34944</v>
      </c>
    </row>
    <row r="81" spans="1:9" ht="15.75" thickBot="1">
      <c r="A81" s="150"/>
      <c r="B81" s="37" t="s">
        <v>67</v>
      </c>
      <c r="C81" s="58"/>
      <c r="D81" s="38">
        <f>SUM(E81,F81,G81,H81)</f>
        <v>10721701.64</v>
      </c>
      <c r="E81" s="38">
        <f>SUM(E45,E46,E47,E48,E51,E67,E71,E72,E73,E76,E78,E79,E80)</f>
        <v>2572000.78</v>
      </c>
      <c r="F81" s="38">
        <f>SUM(F45,F46,F47,F48,F51,F67,F71,F72,F73,F76,F78,F79,F80)</f>
        <v>2478400.78</v>
      </c>
      <c r="G81" s="38">
        <f>SUM(G45,G46,G47,G48,G51,G67,G71,G72,G73,G76,G78,G79,G80)</f>
        <v>3152439.54</v>
      </c>
      <c r="H81" s="38">
        <f>SUM(H45,H46,H47,H48,H51,H67,H71,H72,H73,H76,H78,H79,H80)</f>
        <v>2518860.54</v>
      </c>
      <c r="I81" s="47"/>
    </row>
    <row r="82" spans="1:8" ht="15.75" thickBot="1">
      <c r="A82" s="142"/>
      <c r="B82" s="9" t="s">
        <v>163</v>
      </c>
      <c r="C82" s="50"/>
      <c r="D82" s="26">
        <f>SUM(E82:H82)</f>
        <v>210700</v>
      </c>
      <c r="E82" s="26">
        <v>52675</v>
      </c>
      <c r="F82" s="26">
        <v>52675</v>
      </c>
      <c r="G82" s="26">
        <v>52675</v>
      </c>
      <c r="H82" s="26">
        <v>52675</v>
      </c>
    </row>
    <row r="83" spans="1:8" ht="15.75" thickBot="1">
      <c r="A83" s="142"/>
      <c r="B83" s="9" t="s">
        <v>176</v>
      </c>
      <c r="C83" s="50"/>
      <c r="D83" s="26">
        <f>SUM(E83:H83)</f>
        <v>55908</v>
      </c>
      <c r="E83" s="26">
        <v>13977</v>
      </c>
      <c r="F83" s="26">
        <v>13977</v>
      </c>
      <c r="G83" s="26">
        <v>13977</v>
      </c>
      <c r="H83" s="26">
        <v>13977</v>
      </c>
    </row>
    <row r="84" spans="1:8" ht="15.75" thickBot="1">
      <c r="A84" s="142"/>
      <c r="B84" s="9" t="s">
        <v>175</v>
      </c>
      <c r="C84" s="50"/>
      <c r="D84" s="26">
        <f>SUM(E84:H84)</f>
        <v>2648</v>
      </c>
      <c r="E84" s="26">
        <v>662</v>
      </c>
      <c r="F84" s="26">
        <v>662</v>
      </c>
      <c r="G84" s="26">
        <v>662</v>
      </c>
      <c r="H84" s="26">
        <v>662</v>
      </c>
    </row>
    <row r="85" spans="1:8" ht="16.5" thickBot="1">
      <c r="A85" s="151"/>
      <c r="B85" s="14" t="s">
        <v>177</v>
      </c>
      <c r="C85" s="53"/>
      <c r="D85" s="133">
        <f>SUM(E85:H85)</f>
        <v>10990957.64</v>
      </c>
      <c r="E85" s="26">
        <f>SUM(E81:E84)</f>
        <v>2639314.78</v>
      </c>
      <c r="F85" s="26">
        <f>SUM(F81:F84)</f>
        <v>2545714.78</v>
      </c>
      <c r="G85" s="26">
        <f>SUM(G81:G84)</f>
        <v>3219753.54</v>
      </c>
      <c r="H85" s="26">
        <f>SUM(H81:H84)</f>
        <v>2586174.54</v>
      </c>
    </row>
    <row r="86" spans="1:8" ht="15.75" thickBot="1">
      <c r="A86" s="152"/>
      <c r="B86" s="14" t="s">
        <v>178</v>
      </c>
      <c r="C86" s="82"/>
      <c r="D86" s="43"/>
      <c r="E86" s="43"/>
      <c r="F86" s="43"/>
      <c r="G86" s="43"/>
      <c r="H86" s="43"/>
    </row>
    <row r="87" spans="1:8" ht="15">
      <c r="A87" s="1" t="s">
        <v>182</v>
      </c>
      <c r="B87" s="134" t="s">
        <v>181</v>
      </c>
      <c r="C87" s="134"/>
      <c r="D87" s="134"/>
      <c r="E87" s="134"/>
      <c r="F87" s="134"/>
      <c r="G87" s="134"/>
      <c r="H87" s="134"/>
    </row>
    <row r="88" spans="1:8" ht="15">
      <c r="A88" s="1"/>
      <c r="B88" s="113"/>
      <c r="C88" s="113"/>
      <c r="D88" s="113"/>
      <c r="E88" s="113"/>
      <c r="F88" s="113"/>
      <c r="G88" s="113"/>
      <c r="H88" s="113"/>
    </row>
    <row r="89" spans="1:8" ht="15.75">
      <c r="A89" s="1"/>
      <c r="B89" s="110" t="s">
        <v>179</v>
      </c>
      <c r="C89" s="110"/>
      <c r="D89" s="111"/>
      <c r="E89" s="3"/>
      <c r="F89" s="3"/>
      <c r="G89" s="3"/>
      <c r="H89" s="3"/>
    </row>
    <row r="90" spans="1:8" ht="15">
      <c r="A90" s="1"/>
      <c r="B90" s="3"/>
      <c r="C90" s="3"/>
      <c r="D90" s="81"/>
      <c r="E90" s="3"/>
      <c r="F90" s="3"/>
      <c r="G90" s="3"/>
      <c r="H90" s="3"/>
    </row>
    <row r="91" spans="1:4" ht="15.75">
      <c r="A91" s="2"/>
      <c r="B91" s="107"/>
      <c r="C91" s="108"/>
      <c r="D91" s="109"/>
    </row>
    <row r="92" spans="2:5" ht="15.75">
      <c r="B92" s="110" t="s">
        <v>180</v>
      </c>
      <c r="C92" s="110"/>
      <c r="D92" s="111"/>
      <c r="E92" s="3"/>
    </row>
  </sheetData>
  <sheetProtection/>
  <mergeCells count="11">
    <mergeCell ref="D8:D9"/>
    <mergeCell ref="E8:H8"/>
    <mergeCell ref="A1:H1"/>
    <mergeCell ref="A2:H2"/>
    <mergeCell ref="A3:H3"/>
    <mergeCell ref="B88:H88"/>
    <mergeCell ref="B87:H87"/>
    <mergeCell ref="A4:H4"/>
    <mergeCell ref="A8:A9"/>
    <mergeCell ref="B8:B9"/>
    <mergeCell ref="C8:C9"/>
  </mergeCells>
  <printOptions/>
  <pageMargins left="0.28" right="0.2" top="0.15" bottom="0.17" header="0.18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Лена</cp:lastModifiedBy>
  <cp:lastPrinted>2020-04-02T17:45:32Z</cp:lastPrinted>
  <dcterms:created xsi:type="dcterms:W3CDTF">2020-02-13T19:41:26Z</dcterms:created>
  <dcterms:modified xsi:type="dcterms:W3CDTF">2020-04-02T17:48:06Z</dcterms:modified>
  <cp:category/>
  <cp:version/>
  <cp:contentType/>
  <cp:contentStatus/>
</cp:coreProperties>
</file>